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7992" windowHeight="5712" activeTab="0"/>
  </bookViews>
  <sheets>
    <sheet name="Datos Resultado " sheetId="1" r:id="rId1"/>
    <sheet name="Cálculo" sheetId="2" r:id="rId2"/>
  </sheets>
  <definedNames/>
  <calcPr fullCalcOnLoad="1"/>
</workbook>
</file>

<file path=xl/sharedStrings.xml><?xml version="1.0" encoding="utf-8"?>
<sst xmlns="http://schemas.openxmlformats.org/spreadsheetml/2006/main" count="289" uniqueCount="55">
  <si>
    <t>K2=</t>
  </si>
  <si>
    <t xml:space="preserve">K1= </t>
  </si>
  <si>
    <t>K3=</t>
  </si>
  <si>
    <t>Hasta 1.000.000 K1</t>
  </si>
  <si>
    <t>de      1.000.000 K1</t>
  </si>
  <si>
    <t>Hasta 10.000.000 K1</t>
  </si>
  <si>
    <t>de      10.000.000 K1</t>
  </si>
  <si>
    <t>Hasta 100.000.000 K1</t>
  </si>
  <si>
    <t>más de      100.000.000 K1</t>
  </si>
  <si>
    <t>Categoría Obra</t>
  </si>
  <si>
    <t>1a</t>
  </si>
  <si>
    <t>2a</t>
  </si>
  <si>
    <t>3a</t>
  </si>
  <si>
    <t>4a</t>
  </si>
  <si>
    <t>5a</t>
  </si>
  <si>
    <t>Honorario Mínimo</t>
  </si>
  <si>
    <t>Carga</t>
  </si>
  <si>
    <t>Monto Obra</t>
  </si>
  <si>
    <t>Obtiene</t>
  </si>
  <si>
    <t xml:space="preserve">Monto Aporte </t>
  </si>
  <si>
    <t>Monto Honorarios</t>
  </si>
  <si>
    <t>Porcentaje de Aporte</t>
  </si>
  <si>
    <t>Categoría (Clasificación de las Obras de Ingeniería Art 85)</t>
  </si>
  <si>
    <t>Monto Aporte</t>
  </si>
  <si>
    <t>"Los honorarios deberán establecerse de acuerdo a lo especificado en los distintos capítulos. Si las tareas</t>
  </si>
  <si>
    <t>encomendadas" se somponen de "las determinadas en distintos capítulos, el honorario será el resultante</t>
  </si>
  <si>
    <t>de sumar los honorarios parciales" "En caso de no existir base sobre la cual determinar los honorarios,</t>
  </si>
  <si>
    <t xml:space="preserve">"Los Honorarios constituyen la retribución por el trabajo y responsabilidad del profesional en la ejecución </t>
  </si>
  <si>
    <t>de la tarea encomendadae incluyen elpago de los gastos generales de su oficina relacionados con el</t>
  </si>
  <si>
    <t>ejercicio de su profesión. Los gastos especiales originados por la encomienda de una tarea profesional</t>
  </si>
  <si>
    <t>deberán ser abonados por el comitente" (Art 2 y 9)</t>
  </si>
  <si>
    <t>ellos podrán estimarse por analogía o bien "de acuerdo con el tiempo empleado" (Art 6)</t>
  </si>
  <si>
    <t>Aporte Mínimo</t>
  </si>
  <si>
    <t>6a</t>
  </si>
  <si>
    <t>HONORARIOS CROQUIS PRELIMINARES - ANTEPROYECTO; MEMORIA DESCRIPTIVA Y PRESUPUESTO GLOBAL ESTIMATIVO - OBRA  ARQUITECTURA (Art 60,61, 62 y 63)</t>
  </si>
  <si>
    <t>HONORARIOS PLANOS GENERALES DE PROYECTO Y DE CONSTRUCCION, SIN ESTRUCTURAS: PLANOS DE DETALLES- OBRA ARQUITECTURA (Art 60,61, 62 y 63)</t>
  </si>
  <si>
    <t>HONORARIOS PLANOS y PLANILLAS DE CALCULO DE ESTRUCTURA Y PLANILLA DE DOBLADO DE HIERRO- OBRA ARQUITECTURA (Art 60,61, 62 y 63)</t>
  </si>
  <si>
    <t>HONORARIOS DIRECCION DE OBRAS DE ESTRUCTURAS - OBRA ARQUITECTURA (Art 60,61, 62 y 63)</t>
  </si>
  <si>
    <t>HONORARIOS DIRECCION DE OBRAS SIN ESTRUCTURAS - OBRA ARQUITECTURA (Art 60,61, 62 y 63)</t>
  </si>
  <si>
    <t>HONORARIOSPROYECTO Y DIRECCION  - OBRA ARQUITECTURA (Art 60,61, 62 y 63)</t>
  </si>
  <si>
    <t>Proyecto y Dirección de Obra</t>
  </si>
  <si>
    <t>Dirección de Obra Sin Estructura</t>
  </si>
  <si>
    <t>Dirección de Obra de Estructura</t>
  </si>
  <si>
    <t>Croquis Preliminares, Anteproyecto, Memoria Descriptiva y Presupuesto Global Estimativo</t>
  </si>
  <si>
    <t>Plano Generales de Proyecto sin Estructura. Planos de Detalle</t>
  </si>
  <si>
    <t>Calculo Estructura, Planos de Replanteo de Estructuras y Planilla Doblado Hierro</t>
  </si>
  <si>
    <t>CALCULO DE HONORARIOS OBRA DE ARQUITECTURA</t>
  </si>
  <si>
    <t>CATEGORIAS 1ra, 2da, 3ra, 6ta</t>
  </si>
  <si>
    <t>CATEGORIAS 4ta y 5ta</t>
  </si>
  <si>
    <t>APERTURA</t>
  </si>
  <si>
    <t>HONORARIO MINIMO</t>
  </si>
  <si>
    <t>PROYECTO</t>
  </si>
  <si>
    <t>ESTRUCTURA</t>
  </si>
  <si>
    <t>DIR. S/ ESTRUCTURA</t>
  </si>
  <si>
    <t>DIRECCIÓN DE ESTRUCTURA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</si>
</sst>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_-* #,##0\ _€_-;\-* #,##0\ _€_-;_-* &quot;-&quot;\ _€_-;_-@_-"/>
    <numFmt numFmtId="187" formatCode="_-* #,##0.00\ _€_-;\-* #,##0.00\ _€_-;_-* &quot;-&quot;??\ _€_-;_-@_-"/>
    <numFmt numFmtId="188" formatCode="0.000000"/>
    <numFmt numFmtId="189" formatCode="0.00000"/>
    <numFmt numFmtId="190" formatCode="0.0000"/>
    <numFmt numFmtId="191" formatCode="0.000"/>
    <numFmt numFmtId="192" formatCode="#,##0.00_ ;\-#,##0.00\ "/>
    <numFmt numFmtId="193" formatCode="0.0"/>
    <numFmt numFmtId="194" formatCode="_ * #,##0.000_ ;_ * \-#,##0.000_ ;_ * &quot;-&quot;??_ ;_ @_ "/>
    <numFmt numFmtId="195" formatCode="_ * #,##0.0000_ ;_ * \-#,##0.0000_ ;_ * &quot;-&quot;??_ ;_ @_ "/>
    <numFmt numFmtId="196" formatCode="_ * #,##0.0_ ;_ * \-#,##0.0_ ;_ * &quot;-&quot;??_ ;_ @_ "/>
    <numFmt numFmtId="197" formatCode="_ * #,##0_ ;_ * \-#,##0_ ;_ * &quot;-&quot;??_ ;_ @_ "/>
    <numFmt numFmtId="198" formatCode="0.0%"/>
    <numFmt numFmtId="199" formatCode="_ [$€-2]\ * #,##0.00_ ;_ [$€-2]\ * \-#,##0.00_ ;_ [$€-2]\ * &quot;-&quot;??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_ [$$-2C0A]\ * #,##0.00_ ;_ [$$-2C0A]\ * \-#,##0.00_ ;_ [$$-2C0A]\ * &quot;-&quot;??_ ;_ @_ "/>
    <numFmt numFmtId="205" formatCode="0.000000000"/>
    <numFmt numFmtId="206" formatCode="0.00000000"/>
    <numFmt numFmtId="207" formatCode="0.000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9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171" fontId="0" fillId="0" borderId="0" xfId="50" applyFont="1" applyAlignment="1">
      <alignment/>
    </xf>
    <xf numFmtId="171" fontId="0" fillId="0" borderId="0" xfId="0" applyNumberFormat="1" applyAlignment="1">
      <alignment/>
    </xf>
    <xf numFmtId="0" fontId="2" fillId="0" borderId="0" xfId="0" applyFont="1" applyAlignment="1">
      <alignment/>
    </xf>
    <xf numFmtId="171" fontId="0" fillId="33" borderId="0" xfId="5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1" fontId="0" fillId="34" borderId="0" xfId="0" applyNumberFormat="1" applyFill="1" applyAlignment="1">
      <alignment/>
    </xf>
    <xf numFmtId="0" fontId="5" fillId="0" borderId="0" xfId="0" applyFont="1" applyAlignment="1">
      <alignment/>
    </xf>
    <xf numFmtId="171" fontId="0" fillId="35" borderId="0" xfId="0" applyNumberFormat="1" applyFill="1" applyAlignment="1">
      <alignment/>
    </xf>
    <xf numFmtId="0" fontId="0" fillId="0" borderId="0" xfId="0" applyFill="1" applyAlignment="1">
      <alignment/>
    </xf>
    <xf numFmtId="171" fontId="0" fillId="0" borderId="0" xfId="0" applyNumberFormat="1" applyFill="1" applyAlignment="1">
      <alignment/>
    </xf>
    <xf numFmtId="171" fontId="0" fillId="0" borderId="0" xfId="50" applyAlignment="1">
      <alignment/>
    </xf>
    <xf numFmtId="171" fontId="0" fillId="33" borderId="0" xfId="50" applyFill="1" applyAlignment="1">
      <alignment/>
    </xf>
    <xf numFmtId="171" fontId="0" fillId="0" borderId="0" xfId="0" applyNumberFormat="1" applyFill="1" applyAlignment="1">
      <alignment horizontal="right"/>
    </xf>
    <xf numFmtId="10" fontId="2" fillId="0" borderId="0" xfId="56" applyNumberFormat="1" applyFont="1" applyAlignment="1">
      <alignment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center" indent="15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91" fontId="47" fillId="0" borderId="0" xfId="0" applyNumberFormat="1" applyFont="1" applyAlignment="1">
      <alignment/>
    </xf>
    <xf numFmtId="0" fontId="2" fillId="1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9" fontId="0" fillId="0" borderId="10" xfId="0" applyNumberFormat="1" applyBorder="1" applyAlignment="1">
      <alignment/>
    </xf>
    <xf numFmtId="170" fontId="0" fillId="10" borderId="10" xfId="52" applyFont="1" applyFill="1" applyBorder="1" applyAlignment="1">
      <alignment/>
    </xf>
    <xf numFmtId="170" fontId="0" fillId="13" borderId="10" xfId="52" applyFont="1" applyFill="1" applyBorder="1" applyAlignment="1">
      <alignment/>
    </xf>
    <xf numFmtId="0" fontId="2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PageLayoutView="0" workbookViewId="0" topLeftCell="D40">
      <selection activeCell="E61" sqref="E61"/>
    </sheetView>
  </sheetViews>
  <sheetFormatPr defaultColWidth="11.421875" defaultRowHeight="12.75"/>
  <cols>
    <col min="1" max="1" width="4.57421875" style="0" customWidth="1"/>
    <col min="3" max="3" width="18.57421875" style="0" bestFit="1" customWidth="1"/>
    <col min="4" max="4" width="18.57421875" style="0" customWidth="1"/>
    <col min="5" max="5" width="26.28125" style="0" customWidth="1"/>
    <col min="6" max="6" width="13.57421875" style="0" customWidth="1"/>
    <col min="7" max="7" width="11.140625" style="0" customWidth="1"/>
    <col min="8" max="8" width="12.140625" style="0" customWidth="1"/>
    <col min="9" max="9" width="13.57421875" style="0" customWidth="1"/>
    <col min="10" max="10" width="20.00390625" style="0" customWidth="1"/>
    <col min="11" max="11" width="12.7109375" style="0" customWidth="1"/>
  </cols>
  <sheetData>
    <row r="1" ht="12.75">
      <c r="B1" s="6" t="s">
        <v>46</v>
      </c>
    </row>
    <row r="2" ht="12.75">
      <c r="B2" s="6"/>
    </row>
    <row r="3" ht="12.75">
      <c r="B3" s="7" t="s">
        <v>27</v>
      </c>
    </row>
    <row r="4" s="7" customFormat="1" ht="12.75">
      <c r="B4" s="7" t="s">
        <v>28</v>
      </c>
    </row>
    <row r="5" s="7" customFormat="1" ht="12.75">
      <c r="B5" s="7" t="s">
        <v>29</v>
      </c>
    </row>
    <row r="6" s="7" customFormat="1" ht="12.75">
      <c r="B6" s="7" t="s">
        <v>30</v>
      </c>
    </row>
    <row r="7" s="7" customFormat="1" ht="12.75">
      <c r="B7" s="7" t="s">
        <v>24</v>
      </c>
    </row>
    <row r="8" s="7" customFormat="1" ht="12.75">
      <c r="B8" s="7" t="s">
        <v>25</v>
      </c>
    </row>
    <row r="9" s="7" customFormat="1" ht="12.75">
      <c r="B9" s="7" t="s">
        <v>26</v>
      </c>
    </row>
    <row r="10" s="7" customFormat="1" ht="12.75">
      <c r="B10" s="7" t="s">
        <v>31</v>
      </c>
    </row>
    <row r="11" s="7" customFormat="1" ht="12.75"/>
    <row r="12" s="7" customFormat="1" ht="12.75"/>
    <row r="13" ht="12.75">
      <c r="B13" s="3" t="s">
        <v>47</v>
      </c>
    </row>
    <row r="14" spans="1:3" ht="12.75">
      <c r="A14">
        <v>1</v>
      </c>
      <c r="B14" s="3" t="s">
        <v>34</v>
      </c>
      <c r="C14" s="15"/>
    </row>
    <row r="15" ht="12.75">
      <c r="B15" s="8" t="s">
        <v>16</v>
      </c>
    </row>
    <row r="16" spans="2:5" ht="12.75">
      <c r="B16" t="s">
        <v>17</v>
      </c>
      <c r="E16" s="4">
        <v>100000</v>
      </c>
    </row>
    <row r="17" spans="2:5" ht="12.75">
      <c r="B17" t="s">
        <v>22</v>
      </c>
      <c r="E17" s="5">
        <v>3</v>
      </c>
    </row>
    <row r="18" ht="12.75">
      <c r="B18" s="9" t="s">
        <v>18</v>
      </c>
    </row>
    <row r="19" spans="2:5" ht="12.75">
      <c r="B19" t="s">
        <v>20</v>
      </c>
      <c r="C19" s="1"/>
      <c r="E19" s="10">
        <f>SUM(Cálculo!G33:J33)</f>
        <v>990</v>
      </c>
    </row>
    <row r="20" spans="2:5" ht="12.75">
      <c r="B20" t="s">
        <v>19</v>
      </c>
      <c r="C20" s="1"/>
      <c r="E20" s="12">
        <f>SUM(Cálculo!G35:J35)</f>
        <v>15000</v>
      </c>
    </row>
    <row r="21" ht="12.75">
      <c r="C21" s="1"/>
    </row>
    <row r="22" spans="1:2" ht="12.75">
      <c r="A22">
        <v>2</v>
      </c>
      <c r="B22" s="3" t="s">
        <v>35</v>
      </c>
    </row>
    <row r="23" ht="12.75">
      <c r="B23" s="8" t="s">
        <v>16</v>
      </c>
    </row>
    <row r="24" spans="2:5" ht="12.75">
      <c r="B24" t="s">
        <v>17</v>
      </c>
      <c r="E24" s="4">
        <v>5000000</v>
      </c>
    </row>
    <row r="25" spans="2:5" ht="12.75">
      <c r="B25" t="s">
        <v>22</v>
      </c>
      <c r="E25" s="5">
        <v>6</v>
      </c>
    </row>
    <row r="26" ht="12.75">
      <c r="B26" s="9" t="s">
        <v>18</v>
      </c>
    </row>
    <row r="27" spans="2:5" ht="12.75">
      <c r="B27" t="s">
        <v>20</v>
      </c>
      <c r="C27" s="1"/>
      <c r="E27" s="10">
        <f>SUM(Cálculo!G59:J59)</f>
        <v>120000</v>
      </c>
    </row>
    <row r="28" spans="2:5" ht="12.75">
      <c r="B28" t="s">
        <v>19</v>
      </c>
      <c r="C28" s="1"/>
      <c r="E28" s="12">
        <f>SUM(Cálculo!G61:J61)</f>
        <v>15000</v>
      </c>
    </row>
    <row r="29" ht="12.75">
      <c r="C29" s="1"/>
    </row>
    <row r="30" ht="12.75">
      <c r="C30" s="1"/>
    </row>
    <row r="31" spans="1:2" ht="12.75">
      <c r="A31">
        <v>3</v>
      </c>
      <c r="B31" s="3" t="s">
        <v>36</v>
      </c>
    </row>
    <row r="32" ht="12.75">
      <c r="B32" s="8" t="s">
        <v>16</v>
      </c>
    </row>
    <row r="33" spans="2:5" ht="12.75">
      <c r="B33" t="s">
        <v>17</v>
      </c>
      <c r="E33" s="4">
        <v>2000000</v>
      </c>
    </row>
    <row r="34" spans="2:5" ht="12.75">
      <c r="B34" t="s">
        <v>22</v>
      </c>
      <c r="E34" s="5">
        <v>2</v>
      </c>
    </row>
    <row r="35" ht="12.75">
      <c r="B35" s="9" t="s">
        <v>18</v>
      </c>
    </row>
    <row r="36" spans="2:5" ht="12.75">
      <c r="B36" t="s">
        <v>20</v>
      </c>
      <c r="C36" s="1"/>
      <c r="E36" s="10">
        <f>SUM(Cálculo!G85:J85)</f>
        <v>28800</v>
      </c>
    </row>
    <row r="37" spans="2:5" ht="12.75">
      <c r="B37" t="s">
        <v>19</v>
      </c>
      <c r="C37" s="1"/>
      <c r="E37" s="12">
        <f>SUM(Cálculo!G87:J87)</f>
        <v>15000</v>
      </c>
    </row>
    <row r="38" ht="12.75">
      <c r="C38" s="1"/>
    </row>
    <row r="39" ht="12.75">
      <c r="C39" s="1"/>
    </row>
    <row r="40" spans="1:2" ht="12.75">
      <c r="A40">
        <v>4</v>
      </c>
      <c r="B40" s="3" t="s">
        <v>37</v>
      </c>
    </row>
    <row r="41" ht="12.75">
      <c r="B41" s="8" t="s">
        <v>16</v>
      </c>
    </row>
    <row r="42" spans="2:5" ht="12.75">
      <c r="B42" t="s">
        <v>17</v>
      </c>
      <c r="E42" s="4">
        <v>1139000</v>
      </c>
    </row>
    <row r="43" spans="2:5" ht="12.75">
      <c r="B43" t="s">
        <v>22</v>
      </c>
      <c r="E43" s="5">
        <v>2</v>
      </c>
    </row>
    <row r="44" ht="12.75">
      <c r="B44" s="9" t="s">
        <v>18</v>
      </c>
    </row>
    <row r="45" spans="2:5" ht="12.75">
      <c r="B45" t="s">
        <v>20</v>
      </c>
      <c r="C45" s="1"/>
      <c r="E45" s="10">
        <f>SUM(Cálculo!G112:J112)</f>
        <v>6378.400000000001</v>
      </c>
    </row>
    <row r="46" spans="2:5" ht="12.75">
      <c r="B46" t="s">
        <v>19</v>
      </c>
      <c r="C46" s="1"/>
      <c r="E46" s="12">
        <f>SUM(Cálculo!G114:J114)</f>
        <v>15000</v>
      </c>
    </row>
    <row r="47" ht="12.75">
      <c r="C47" s="1"/>
    </row>
    <row r="48" ht="12.75">
      <c r="C48" s="1"/>
    </row>
    <row r="49" spans="1:2" ht="12.75">
      <c r="A49">
        <v>5</v>
      </c>
      <c r="B49" s="3" t="s">
        <v>38</v>
      </c>
    </row>
    <row r="50" ht="12.75">
      <c r="B50" s="8" t="s">
        <v>16</v>
      </c>
    </row>
    <row r="51" spans="2:5" ht="12.75">
      <c r="B51" t="s">
        <v>17</v>
      </c>
      <c r="E51" s="4">
        <v>1139000</v>
      </c>
    </row>
    <row r="52" spans="2:5" ht="12.75">
      <c r="B52" t="s">
        <v>22</v>
      </c>
      <c r="E52" s="5">
        <v>2</v>
      </c>
    </row>
    <row r="53" ht="12.75">
      <c r="B53" s="9" t="s">
        <v>18</v>
      </c>
    </row>
    <row r="54" spans="2:5" ht="12.75">
      <c r="B54" t="s">
        <v>20</v>
      </c>
      <c r="C54" s="1"/>
      <c r="E54" s="10">
        <f>SUM(Cálculo!G138:J138)</f>
        <v>30069.600000000002</v>
      </c>
    </row>
    <row r="55" spans="2:5" ht="12.75">
      <c r="B55" t="s">
        <v>19</v>
      </c>
      <c r="C55" s="1"/>
      <c r="E55" s="12">
        <f>SUM(Cálculo!G140:J140)</f>
        <v>15000</v>
      </c>
    </row>
    <row r="56" spans="3:7" ht="12.75">
      <c r="C56" s="1"/>
      <c r="G56">
        <f>486762.34/260</f>
        <v>1872.1628461538462</v>
      </c>
    </row>
    <row r="57" ht="12.75">
      <c r="C57" s="1"/>
    </row>
    <row r="58" spans="1:2" ht="12.75">
      <c r="A58">
        <v>6</v>
      </c>
      <c r="B58" s="3" t="s">
        <v>39</v>
      </c>
    </row>
    <row r="59" ht="12.75">
      <c r="B59" s="8" t="s">
        <v>16</v>
      </c>
    </row>
    <row r="60" spans="2:10" ht="12.75">
      <c r="B60" t="s">
        <v>17</v>
      </c>
      <c r="E60" s="4">
        <f>575*35840</f>
        <v>20608000</v>
      </c>
      <c r="G60" s="31" t="s">
        <v>49</v>
      </c>
      <c r="H60" s="31"/>
      <c r="I60" s="31"/>
      <c r="J60" s="25" t="s">
        <v>50</v>
      </c>
    </row>
    <row r="61" spans="2:10" ht="12.75">
      <c r="B61" t="s">
        <v>22</v>
      </c>
      <c r="E61" s="5">
        <v>2</v>
      </c>
      <c r="G61" s="26" t="s">
        <v>51</v>
      </c>
      <c r="H61" s="27">
        <v>0.42</v>
      </c>
      <c r="I61" s="28">
        <f>+E63*42%</f>
        <v>692428.7999999999</v>
      </c>
      <c r="J61" s="29">
        <f>+I61*2%</f>
        <v>13848.576</v>
      </c>
    </row>
    <row r="62" spans="2:10" ht="12.75">
      <c r="B62" s="9" t="s">
        <v>18</v>
      </c>
      <c r="G62" s="30" t="s">
        <v>52</v>
      </c>
      <c r="H62" s="27">
        <v>0.18</v>
      </c>
      <c r="I62" s="28">
        <f>+E63*18%</f>
        <v>296755.2</v>
      </c>
      <c r="J62" s="29">
        <f>+I62*2%</f>
        <v>5935.104</v>
      </c>
    </row>
    <row r="63" spans="2:10" ht="12.75">
      <c r="B63" t="s">
        <v>20</v>
      </c>
      <c r="C63" s="1"/>
      <c r="E63" s="10">
        <f>SUM(Cálculo!G164:J164)</f>
        <v>1648640</v>
      </c>
      <c r="G63" s="30" t="s">
        <v>53</v>
      </c>
      <c r="H63" s="27">
        <v>0.33</v>
      </c>
      <c r="I63" s="28">
        <f>+E63*32%</f>
        <v>527564.8</v>
      </c>
      <c r="J63" s="29">
        <f>+I63*2%</f>
        <v>10551.296</v>
      </c>
    </row>
    <row r="64" spans="2:10" ht="12.75">
      <c r="B64" t="s">
        <v>19</v>
      </c>
      <c r="C64" s="1"/>
      <c r="E64" s="12">
        <f>SUM(Cálculo!G166:J166)</f>
        <v>32972.8</v>
      </c>
      <c r="G64" s="30" t="s">
        <v>54</v>
      </c>
      <c r="H64" s="27">
        <v>0.07</v>
      </c>
      <c r="I64" s="28">
        <f>+E63*7%</f>
        <v>115404.80000000002</v>
      </c>
      <c r="J64" s="29">
        <f>+I64*2%</f>
        <v>2308.0960000000005</v>
      </c>
    </row>
    <row r="66" ht="12.75">
      <c r="B66" s="3" t="s">
        <v>48</v>
      </c>
    </row>
    <row r="67" spans="1:3" ht="12.75">
      <c r="A67">
        <v>7</v>
      </c>
      <c r="B67" s="3" t="s">
        <v>34</v>
      </c>
      <c r="C67" s="15"/>
    </row>
    <row r="68" ht="12.75">
      <c r="B68" s="8" t="s">
        <v>16</v>
      </c>
    </row>
    <row r="69" spans="2:5" ht="12.75">
      <c r="B69" t="s">
        <v>17</v>
      </c>
      <c r="E69" s="4">
        <v>2000000</v>
      </c>
    </row>
    <row r="70" spans="2:5" ht="12.75">
      <c r="B70" t="s">
        <v>22</v>
      </c>
      <c r="E70" s="5">
        <v>5</v>
      </c>
    </row>
    <row r="71" ht="12.75">
      <c r="B71" s="9" t="s">
        <v>18</v>
      </c>
    </row>
    <row r="72" spans="2:5" ht="12.75">
      <c r="B72" t="s">
        <v>20</v>
      </c>
      <c r="C72" s="1"/>
      <c r="E72" s="10">
        <f>SUM(Cálculo!G192:H192)</f>
        <v>70000</v>
      </c>
    </row>
    <row r="73" spans="2:5" ht="12.75">
      <c r="B73" t="s">
        <v>19</v>
      </c>
      <c r="C73" s="1"/>
      <c r="E73" s="12">
        <f>SUM(Cálculo!G194:H194)</f>
        <v>15000</v>
      </c>
    </row>
    <row r="74" ht="12.75">
      <c r="C74" s="1"/>
    </row>
    <row r="75" spans="1:2" ht="12.75">
      <c r="A75">
        <v>8</v>
      </c>
      <c r="B75" s="3" t="s">
        <v>35</v>
      </c>
    </row>
    <row r="76" ht="12.75">
      <c r="B76" s="8" t="s">
        <v>16</v>
      </c>
    </row>
    <row r="77" spans="2:5" ht="12.75">
      <c r="B77" t="s">
        <v>17</v>
      </c>
      <c r="E77" s="4">
        <v>2000000</v>
      </c>
    </row>
    <row r="78" spans="2:5" ht="12.75">
      <c r="B78" t="s">
        <v>22</v>
      </c>
      <c r="E78" s="5">
        <v>4</v>
      </c>
    </row>
    <row r="79" ht="12.75">
      <c r="B79" s="9" t="s">
        <v>18</v>
      </c>
    </row>
    <row r="80" spans="2:5" ht="12.75">
      <c r="B80" t="s">
        <v>20</v>
      </c>
      <c r="C80" s="1"/>
      <c r="E80" s="10">
        <f>SUM(Cálculo!G218:H218)</f>
        <v>52000</v>
      </c>
    </row>
    <row r="81" spans="2:5" ht="12.75">
      <c r="B81" t="s">
        <v>19</v>
      </c>
      <c r="C81" s="1"/>
      <c r="E81" s="12">
        <f>SUM(Cálculo!G220:H220)</f>
        <v>15000</v>
      </c>
    </row>
    <row r="82" ht="12.75">
      <c r="C82" s="1"/>
    </row>
    <row r="83" ht="12.75">
      <c r="C83" s="1"/>
    </row>
    <row r="84" spans="1:2" ht="12.75">
      <c r="A84">
        <v>9</v>
      </c>
      <c r="B84" s="3" t="s">
        <v>36</v>
      </c>
    </row>
    <row r="85" ht="12.75">
      <c r="B85" s="8" t="s">
        <v>16</v>
      </c>
    </row>
    <row r="86" spans="2:5" ht="12.75">
      <c r="B86" t="s">
        <v>17</v>
      </c>
      <c r="E86" s="4">
        <v>2000000</v>
      </c>
    </row>
    <row r="87" spans="2:5" ht="12.75">
      <c r="B87" t="s">
        <v>22</v>
      </c>
      <c r="E87" s="5">
        <v>4</v>
      </c>
    </row>
    <row r="88" ht="12.75">
      <c r="B88" s="9" t="s">
        <v>18</v>
      </c>
    </row>
    <row r="89" spans="2:5" ht="12.75">
      <c r="B89" t="s">
        <v>20</v>
      </c>
      <c r="C89" s="1"/>
      <c r="E89" s="10">
        <f>SUM(Cálculo!G244:H244)</f>
        <v>39000</v>
      </c>
    </row>
    <row r="90" spans="2:5" ht="12.75">
      <c r="B90" t="s">
        <v>19</v>
      </c>
      <c r="C90" s="1"/>
      <c r="E90" s="12">
        <f>SUM(Cálculo!G246:H246)</f>
        <v>15000</v>
      </c>
    </row>
    <row r="91" ht="12.75">
      <c r="C91" s="1"/>
    </row>
    <row r="92" ht="12.75">
      <c r="C92" s="1"/>
    </row>
    <row r="93" spans="1:2" ht="12.75">
      <c r="A93">
        <v>10</v>
      </c>
      <c r="B93" s="3" t="s">
        <v>37</v>
      </c>
    </row>
    <row r="94" ht="12.75">
      <c r="B94" s="8" t="s">
        <v>16</v>
      </c>
    </row>
    <row r="95" spans="2:5" ht="12.75">
      <c r="B95" t="s">
        <v>17</v>
      </c>
      <c r="E95" s="4">
        <v>2000000</v>
      </c>
    </row>
    <row r="96" spans="2:5" ht="12.75">
      <c r="B96" t="s">
        <v>22</v>
      </c>
      <c r="E96" s="5">
        <v>5</v>
      </c>
    </row>
    <row r="97" ht="12.75">
      <c r="B97" s="9" t="s">
        <v>18</v>
      </c>
    </row>
    <row r="98" spans="2:5" ht="12.75">
      <c r="B98" t="s">
        <v>20</v>
      </c>
      <c r="C98" s="1"/>
      <c r="E98" s="10">
        <f>SUM(Cálculo!G271:H271)</f>
        <v>10000</v>
      </c>
    </row>
    <row r="99" spans="2:5" ht="12.75">
      <c r="B99" t="s">
        <v>19</v>
      </c>
      <c r="C99" s="1"/>
      <c r="E99" s="12">
        <f>SUM(Cálculo!G273:H273)</f>
        <v>15000</v>
      </c>
    </row>
    <row r="100" ht="12.75">
      <c r="C100" s="1"/>
    </row>
    <row r="101" ht="12.75">
      <c r="C101" s="1"/>
    </row>
    <row r="102" spans="1:2" ht="12.75">
      <c r="A102">
        <v>11</v>
      </c>
      <c r="B102" s="3" t="s">
        <v>38</v>
      </c>
    </row>
    <row r="103" ht="12.75">
      <c r="B103" s="8" t="s">
        <v>16</v>
      </c>
    </row>
    <row r="104" spans="2:5" ht="12.75">
      <c r="B104" t="s">
        <v>17</v>
      </c>
      <c r="E104" s="4">
        <v>2000000</v>
      </c>
    </row>
    <row r="105" spans="2:5" ht="12.75">
      <c r="B105" t="s">
        <v>22</v>
      </c>
      <c r="E105" s="5">
        <v>5</v>
      </c>
    </row>
    <row r="106" ht="12.75">
      <c r="B106" s="9" t="s">
        <v>18</v>
      </c>
    </row>
    <row r="107" spans="2:5" ht="12.75">
      <c r="B107" t="s">
        <v>20</v>
      </c>
      <c r="C107" s="1"/>
      <c r="E107" s="10">
        <f>SUM(Cálculo!G297:H297)</f>
        <v>50000</v>
      </c>
    </row>
    <row r="108" spans="2:5" ht="12.75">
      <c r="B108" t="s">
        <v>19</v>
      </c>
      <c r="C108" s="1"/>
      <c r="E108" s="12">
        <f>SUM(Cálculo!G299:H299)</f>
        <v>15000</v>
      </c>
    </row>
    <row r="109" ht="12.75">
      <c r="C109" s="1"/>
    </row>
    <row r="110" ht="12.75">
      <c r="C110" s="1"/>
    </row>
    <row r="111" spans="1:2" ht="12.75">
      <c r="A111">
        <v>12</v>
      </c>
      <c r="B111" s="3" t="s">
        <v>39</v>
      </c>
    </row>
    <row r="112" ht="12.75">
      <c r="B112" s="8" t="s">
        <v>16</v>
      </c>
    </row>
    <row r="113" spans="2:5" ht="12.75">
      <c r="B113" t="s">
        <v>17</v>
      </c>
      <c r="E113" s="4">
        <v>2000000</v>
      </c>
    </row>
    <row r="114" spans="2:5" ht="12.75">
      <c r="B114" t="s">
        <v>22</v>
      </c>
      <c r="E114" s="5">
        <v>5</v>
      </c>
    </row>
    <row r="115" ht="12.75">
      <c r="B115" s="9" t="s">
        <v>18</v>
      </c>
    </row>
    <row r="116" spans="2:5" ht="12.75">
      <c r="B116" t="s">
        <v>20</v>
      </c>
      <c r="C116" s="1"/>
      <c r="E116" s="10">
        <f>SUM(Cálculo!G323:H323)</f>
        <v>200000</v>
      </c>
    </row>
    <row r="117" spans="2:5" ht="12.75">
      <c r="B117" t="s">
        <v>19</v>
      </c>
      <c r="C117" s="1"/>
      <c r="E117" s="12">
        <f>SUM(Cálculo!G325:H325)</f>
        <v>15000</v>
      </c>
    </row>
  </sheetData>
  <sheetProtection/>
  <mergeCells count="1">
    <mergeCell ref="G60:I60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6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4.57421875" style="0" customWidth="1"/>
    <col min="2" max="2" width="13.140625" style="0" customWidth="1"/>
    <col min="3" max="3" width="18.57421875" style="0" bestFit="1" customWidth="1"/>
    <col min="4" max="4" width="15.28125" style="0" customWidth="1"/>
    <col min="5" max="5" width="26.28125" style="0" customWidth="1"/>
    <col min="6" max="6" width="13.57421875" style="0" customWidth="1"/>
    <col min="7" max="7" width="11.140625" style="0" customWidth="1"/>
    <col min="8" max="8" width="12.140625" style="0" customWidth="1"/>
    <col min="9" max="9" width="13.57421875" style="0" customWidth="1"/>
    <col min="10" max="10" width="12.28125" style="0" customWidth="1"/>
  </cols>
  <sheetData>
    <row r="1" ht="12.75">
      <c r="B1" s="6" t="s">
        <v>46</v>
      </c>
    </row>
    <row r="2" spans="2:4" ht="12.75">
      <c r="B2" s="11" t="s">
        <v>21</v>
      </c>
      <c r="D2" s="18">
        <v>0.02</v>
      </c>
    </row>
    <row r="3" spans="3:10" ht="15">
      <c r="C3">
        <v>2024</v>
      </c>
      <c r="F3" s="21"/>
      <c r="J3" s="19"/>
    </row>
    <row r="4" spans="2:14" ht="15">
      <c r="B4" t="s">
        <v>1</v>
      </c>
      <c r="C4" s="24">
        <v>30.938</v>
      </c>
      <c r="F4" s="21"/>
      <c r="N4" s="19"/>
    </row>
    <row r="5" spans="2:14" ht="15">
      <c r="B5" t="s">
        <v>0</v>
      </c>
      <c r="C5" s="24">
        <v>61.331</v>
      </c>
      <c r="F5" s="21"/>
      <c r="N5" s="20"/>
    </row>
    <row r="6" spans="2:3" ht="14.25">
      <c r="B6" t="s">
        <v>2</v>
      </c>
      <c r="C6" s="24">
        <v>369.076</v>
      </c>
    </row>
    <row r="8" spans="2:3" ht="12.75">
      <c r="B8" s="7" t="s">
        <v>32</v>
      </c>
      <c r="C8">
        <v>15000</v>
      </c>
    </row>
    <row r="9" ht="12.75">
      <c r="B9" s="7"/>
    </row>
    <row r="10" ht="15">
      <c r="B10" s="22" t="s">
        <v>47</v>
      </c>
    </row>
    <row r="11" spans="1:3" ht="12.75">
      <c r="A11">
        <v>1</v>
      </c>
      <c r="B11" s="3" t="s">
        <v>34</v>
      </c>
      <c r="C11" s="15"/>
    </row>
    <row r="12" ht="12.75">
      <c r="C12" s="15"/>
    </row>
    <row r="13" spans="2:3" ht="12.75">
      <c r="B13" t="s">
        <v>17</v>
      </c>
      <c r="C13" s="16">
        <f>+'Datos Resultado '!E16</f>
        <v>100000</v>
      </c>
    </row>
    <row r="14" ht="12.75">
      <c r="C14" s="15"/>
    </row>
    <row r="15" spans="2:7" ht="12.75">
      <c r="B15" t="s">
        <v>43</v>
      </c>
      <c r="G15">
        <v>0.22</v>
      </c>
    </row>
    <row r="17" ht="12.75">
      <c r="G17" t="s">
        <v>9</v>
      </c>
    </row>
    <row r="18" spans="7:10" ht="12.75">
      <c r="G18" t="s">
        <v>10</v>
      </c>
      <c r="H18" t="s">
        <v>11</v>
      </c>
      <c r="I18" t="s">
        <v>12</v>
      </c>
      <c r="J18" t="s">
        <v>33</v>
      </c>
    </row>
    <row r="19" spans="2:10" ht="12.75">
      <c r="B19" t="s">
        <v>3</v>
      </c>
      <c r="D19" s="15">
        <f>+$C$4*1000000</f>
        <v>30938000</v>
      </c>
      <c r="E19" s="15">
        <f>+IF(C13&gt;D19,D19,C13)</f>
        <v>100000</v>
      </c>
      <c r="G19">
        <v>0.05</v>
      </c>
      <c r="H19">
        <v>0.08</v>
      </c>
      <c r="I19">
        <v>0.045</v>
      </c>
      <c r="J19">
        <v>0.12</v>
      </c>
    </row>
    <row r="20" spans="4:5" ht="12.75">
      <c r="D20" s="15"/>
      <c r="E20" s="15"/>
    </row>
    <row r="21" spans="2:10" ht="12.75">
      <c r="B21" t="s">
        <v>4</v>
      </c>
      <c r="D21" s="15">
        <f>+$C$4*1000000</f>
        <v>30938000</v>
      </c>
      <c r="E21" s="15">
        <f>+IF(C13&lt;D22,IF(C13&gt;D21,C13-D21,0),D22-D21)</f>
        <v>0</v>
      </c>
      <c r="G21">
        <v>0.04</v>
      </c>
      <c r="H21">
        <v>0.07</v>
      </c>
      <c r="I21">
        <v>0.035</v>
      </c>
      <c r="J21">
        <v>0.11</v>
      </c>
    </row>
    <row r="22" spans="2:5" ht="12.75">
      <c r="B22" t="s">
        <v>5</v>
      </c>
      <c r="D22" s="15">
        <f>+$C$4*10000000</f>
        <v>309380000</v>
      </c>
      <c r="E22" s="15"/>
    </row>
    <row r="23" spans="4:5" ht="12.75">
      <c r="D23" s="15"/>
      <c r="E23" s="15"/>
    </row>
    <row r="24" spans="2:10" ht="12.75">
      <c r="B24" t="s">
        <v>6</v>
      </c>
      <c r="D24" s="15">
        <f>+$C$4*10000000</f>
        <v>309380000</v>
      </c>
      <c r="E24" s="15">
        <f>+IF(C13&lt;D25,IF(C13&gt;D24,C13-D24,0),D25-D24)</f>
        <v>0</v>
      </c>
      <c r="G24">
        <v>0.035</v>
      </c>
      <c r="H24">
        <v>0.06</v>
      </c>
      <c r="I24">
        <v>0.03</v>
      </c>
      <c r="J24">
        <v>0.1</v>
      </c>
    </row>
    <row r="25" spans="2:5" ht="12.75">
      <c r="B25" t="s">
        <v>7</v>
      </c>
      <c r="D25" s="15">
        <f>+$C$4*100000000</f>
        <v>3093800000</v>
      </c>
      <c r="E25" s="15"/>
    </row>
    <row r="27" spans="2:10" ht="12.75">
      <c r="B27" t="s">
        <v>8</v>
      </c>
      <c r="D27" s="15">
        <f>+$C$4*100000000</f>
        <v>3093800000</v>
      </c>
      <c r="E27" s="15">
        <f>+IF(C13&gt;D27,C13-D27,0)</f>
        <v>0</v>
      </c>
      <c r="G27">
        <v>0.03</v>
      </c>
      <c r="H27">
        <v>0.05</v>
      </c>
      <c r="I27">
        <v>0.025</v>
      </c>
      <c r="J27">
        <v>0.09</v>
      </c>
    </row>
    <row r="28" spans="4:5" ht="12.75">
      <c r="D28" s="15"/>
      <c r="E28" s="15"/>
    </row>
    <row r="29" spans="4:5" ht="12.75">
      <c r="D29" s="15"/>
      <c r="E29" s="2">
        <f>SUM(E19:E27)</f>
        <v>100000</v>
      </c>
    </row>
    <row r="31" spans="2:10" ht="12.75">
      <c r="B31" s="13"/>
      <c r="C31" s="13"/>
      <c r="D31" s="13"/>
      <c r="E31" s="14"/>
      <c r="F31" s="14"/>
      <c r="G31" s="17">
        <f>IF('Datos Resultado '!E17=1,+$G15*(G$19*$E$19+G$21*$E$21+G$24*$E$24+G$27*$E$27),0)</f>
        <v>0</v>
      </c>
      <c r="H31" s="17">
        <f>IF('Datos Resultado '!E17=2,+$G15*(H$19*$E$19+H$21*$E$21+H$24*$E$24+H$27*$E$27),0)</f>
        <v>0</v>
      </c>
      <c r="I31" s="17">
        <f>IF('Datos Resultado '!E17=3,+$G15*(I$19*$E$19+I$21*$E$21+I$24*$E$24+I$27*$E$27),0)</f>
        <v>990</v>
      </c>
      <c r="J31" s="17">
        <f>IF('Datos Resultado '!E17=6,+$G15*(J$19*$E$19+J$21*$E$21+J$24*$E$24+J$27*$E$27),0)</f>
        <v>0</v>
      </c>
    </row>
    <row r="32" spans="2:10" ht="12.75">
      <c r="B32" s="13"/>
      <c r="E32" s="2"/>
      <c r="F32" s="2"/>
      <c r="H32" s="2"/>
      <c r="I32" s="2"/>
      <c r="J32" s="2"/>
    </row>
    <row r="33" spans="2:10" ht="12.75">
      <c r="B33" s="13" t="s">
        <v>15</v>
      </c>
      <c r="E33" s="2">
        <v>0</v>
      </c>
      <c r="F33" s="2"/>
      <c r="G33" s="10">
        <f>IF(G31&gt;0,IF(G31&gt;$E$33,G31,$E$33),0)</f>
        <v>0</v>
      </c>
      <c r="H33" s="10">
        <f>IF(H31&gt;0,IF(H31&gt;$E$33,H31,$E$33),0)</f>
        <v>0</v>
      </c>
      <c r="I33" s="10">
        <f>IF(I31&gt;0,IF(I31&gt;$E$33,I31,$E$33),0)</f>
        <v>990</v>
      </c>
      <c r="J33" s="10">
        <f>IF(J31&gt;0,IF(J31&gt;$E$33,J31,$E$33),0)</f>
        <v>0</v>
      </c>
    </row>
    <row r="34" spans="5:10" ht="12.75">
      <c r="E34" s="2"/>
      <c r="F34" s="2"/>
      <c r="H34" s="2"/>
      <c r="I34" s="2"/>
      <c r="J34" s="2"/>
    </row>
    <row r="35" spans="2:10" ht="12.75">
      <c r="B35" t="s">
        <v>23</v>
      </c>
      <c r="E35" s="2"/>
      <c r="F35" s="2"/>
      <c r="G35" s="12">
        <f>IF(G33*$D$2&gt;0,(IF(G33*$D$2&lt;$C$8,$C$8,G33*$D$2)),0)</f>
        <v>0</v>
      </c>
      <c r="H35" s="12">
        <f>IF(H33*$D$2&gt;0,(IF(H33*$D$2&lt;$C$8,$C$8,H33*$D$2)),0)</f>
        <v>0</v>
      </c>
      <c r="I35" s="12">
        <f>IF(I33*$D$2&gt;0,(IF(I33*$D$2&lt;$C$8,$C$8,I33*$D$2)),0)</f>
        <v>15000</v>
      </c>
      <c r="J35" s="12">
        <f>IF(J33*$D$2&gt;0,(IF(J33*$D$2&lt;$C$8,$C$8,J33*$D$2)),0)</f>
        <v>0</v>
      </c>
    </row>
    <row r="36" spans="5:10" ht="12.75">
      <c r="E36" s="2"/>
      <c r="F36" s="2"/>
      <c r="G36" s="2"/>
      <c r="H36" s="2"/>
      <c r="I36" s="2"/>
      <c r="J36" s="2"/>
    </row>
    <row r="37" spans="1:2" ht="12.75">
      <c r="A37">
        <v>2</v>
      </c>
      <c r="B37" s="3" t="s">
        <v>35</v>
      </c>
    </row>
    <row r="38" ht="12.75">
      <c r="C38" s="15"/>
    </row>
    <row r="39" spans="2:3" ht="12.75">
      <c r="B39" t="s">
        <v>17</v>
      </c>
      <c r="C39" s="16">
        <f>+'Datos Resultado '!E24</f>
        <v>5000000</v>
      </c>
    </row>
    <row r="40" ht="12.75">
      <c r="C40" s="15"/>
    </row>
    <row r="41" spans="2:7" ht="12.75">
      <c r="B41" t="s">
        <v>44</v>
      </c>
      <c r="G41">
        <v>0.2</v>
      </c>
    </row>
    <row r="43" ht="12.75">
      <c r="G43" t="s">
        <v>9</v>
      </c>
    </row>
    <row r="44" spans="7:10" ht="12.75">
      <c r="G44" t="s">
        <v>10</v>
      </c>
      <c r="H44" t="s">
        <v>11</v>
      </c>
      <c r="I44" t="s">
        <v>12</v>
      </c>
      <c r="J44" t="s">
        <v>33</v>
      </c>
    </row>
    <row r="45" spans="2:10" ht="12.75">
      <c r="B45" t="s">
        <v>3</v>
      </c>
      <c r="D45" s="15">
        <f>+$C$4*1000000</f>
        <v>30938000</v>
      </c>
      <c r="E45" s="15">
        <f>+IF(C39&gt;D45,D45,C39)</f>
        <v>5000000</v>
      </c>
      <c r="G45">
        <v>0.05</v>
      </c>
      <c r="H45">
        <v>0.08</v>
      </c>
      <c r="I45">
        <v>0.045</v>
      </c>
      <c r="J45">
        <v>0.12</v>
      </c>
    </row>
    <row r="46" spans="4:5" ht="12.75">
      <c r="D46" s="15"/>
      <c r="E46" s="15"/>
    </row>
    <row r="47" spans="2:10" ht="12.75">
      <c r="B47" t="s">
        <v>4</v>
      </c>
      <c r="D47" s="15">
        <f>+$C$4*1000000</f>
        <v>30938000</v>
      </c>
      <c r="E47" s="15">
        <f>+IF(C39&lt;D48,IF(C39&gt;D47,C39-D47,0),D48-D47)</f>
        <v>0</v>
      </c>
      <c r="G47">
        <v>0.04</v>
      </c>
      <c r="H47">
        <v>0.07</v>
      </c>
      <c r="I47">
        <v>0.035</v>
      </c>
      <c r="J47">
        <v>0.11</v>
      </c>
    </row>
    <row r="48" spans="2:5" ht="12.75">
      <c r="B48" t="s">
        <v>5</v>
      </c>
      <c r="D48" s="15">
        <f>+$C$4*10000000</f>
        <v>309380000</v>
      </c>
      <c r="E48" s="15"/>
    </row>
    <row r="49" spans="4:5" ht="12.75">
      <c r="D49" s="15"/>
      <c r="E49" s="15"/>
    </row>
    <row r="50" spans="2:10" ht="12.75">
      <c r="B50" t="s">
        <v>6</v>
      </c>
      <c r="D50" s="15">
        <f>+$C$4*10000000</f>
        <v>309380000</v>
      </c>
      <c r="E50" s="15">
        <f>+IF(C39&lt;D51,IF(C39&gt;D50,C39-D50,0),D51-D50)</f>
        <v>0</v>
      </c>
      <c r="G50">
        <v>0.035</v>
      </c>
      <c r="H50">
        <v>0.06</v>
      </c>
      <c r="I50">
        <v>0.03</v>
      </c>
      <c r="J50">
        <v>0.1</v>
      </c>
    </row>
    <row r="51" spans="2:5" ht="12.75">
      <c r="B51" t="s">
        <v>7</v>
      </c>
      <c r="D51" s="15">
        <f>+$C$4*100000000</f>
        <v>3093800000</v>
      </c>
      <c r="E51" s="15"/>
    </row>
    <row r="53" spans="2:10" ht="12.75">
      <c r="B53" t="s">
        <v>8</v>
      </c>
      <c r="D53" s="15">
        <f>+$C$4*100000000</f>
        <v>3093800000</v>
      </c>
      <c r="E53" s="15">
        <f>+IF(C39&gt;D53,C39-D53,0)</f>
        <v>0</v>
      </c>
      <c r="G53">
        <v>0.03</v>
      </c>
      <c r="H53">
        <v>0.05</v>
      </c>
      <c r="I53">
        <v>0.025</v>
      </c>
      <c r="J53">
        <v>0.09</v>
      </c>
    </row>
    <row r="54" spans="4:5" ht="12.75">
      <c r="D54" s="15"/>
      <c r="E54" s="15"/>
    </row>
    <row r="55" spans="4:5" ht="12.75">
      <c r="D55" s="15"/>
      <c r="E55" s="2">
        <f>SUM(E45:E53)</f>
        <v>5000000</v>
      </c>
    </row>
    <row r="57" spans="2:10" ht="12.75">
      <c r="B57" s="13"/>
      <c r="C57" s="13"/>
      <c r="D57" s="13"/>
      <c r="E57" s="14"/>
      <c r="F57" s="14"/>
      <c r="G57" s="17">
        <f>IF('Datos Resultado '!E25=1,+$G41*(G$45*$E$45+G$47*$E$47+G$50*$E$50+G$53*$E$53),0)</f>
        <v>0</v>
      </c>
      <c r="H57" s="17">
        <f>IF('Datos Resultado '!E25=2,+$G41*(H$45*$E$45+H$47*$E$47+H$50*$E$50+H$53*$E$53),0)</f>
        <v>0</v>
      </c>
      <c r="I57" s="17">
        <f>IF('Datos Resultado '!E25=3,+$G41*(I$45*$E$45+I$47*$E$47+I$50*$E$50+I$53*$E$53),0)</f>
        <v>0</v>
      </c>
      <c r="J57" s="17">
        <f>IF('Datos Resultado '!E25=6,+$G41*(J$45*$E$45+J$47*$E$47+J$50*$E$50+J$53*$E$53),0)</f>
        <v>120000</v>
      </c>
    </row>
    <row r="58" spans="2:10" ht="12.75">
      <c r="B58" s="13"/>
      <c r="E58" s="2"/>
      <c r="F58" s="2"/>
      <c r="H58" s="2"/>
      <c r="I58" s="2"/>
      <c r="J58" s="2"/>
    </row>
    <row r="59" spans="2:10" ht="12.75">
      <c r="B59" s="13" t="s">
        <v>15</v>
      </c>
      <c r="E59" s="2">
        <v>0</v>
      </c>
      <c r="F59" s="2"/>
      <c r="G59" s="10">
        <f>IF(G57&gt;0,IF(G57&gt;$E$59,G57,$E$59),0)</f>
        <v>0</v>
      </c>
      <c r="H59" s="10">
        <f>IF(H57&gt;0,IF(H57&gt;$E$59,H57,$E$59),0)</f>
        <v>0</v>
      </c>
      <c r="I59" s="10">
        <f>IF(I57&gt;0,IF(I57&gt;$E$59,I57,$E$59),0)</f>
        <v>0</v>
      </c>
      <c r="J59" s="10">
        <f>IF(J57&gt;0,IF(J57&gt;$E$59,J57,$E$59),0)</f>
        <v>120000</v>
      </c>
    </row>
    <row r="60" spans="5:10" ht="12.75">
      <c r="E60" s="2"/>
      <c r="F60" s="2"/>
      <c r="H60" s="2"/>
      <c r="I60" s="2"/>
      <c r="J60" s="2"/>
    </row>
    <row r="61" spans="2:10" ht="12.75">
      <c r="B61" t="s">
        <v>23</v>
      </c>
      <c r="E61" s="2"/>
      <c r="F61" s="2"/>
      <c r="G61" s="12">
        <f>IF(G59*$D$2&gt;0,(IF(G59*$D$2&lt;$C$8,$C$8,G59*$D$2)),0)</f>
        <v>0</v>
      </c>
      <c r="H61" s="12">
        <f>IF(H59*$D$2&gt;0,(IF(H59*$D$2&lt;$C$8,$C$8,H59*$D$2)),0)</f>
        <v>0</v>
      </c>
      <c r="I61" s="12">
        <f>IF(I59*$D$2&gt;0,(IF(I59*$D$2&lt;$C$8,$C$8,I59*$D$2)),0)</f>
        <v>0</v>
      </c>
      <c r="J61" s="12">
        <f>IF(J59*$D$2&gt;0,(IF(J59*$D$2&lt;$C$8,$C$8,J59*$D$2)),0)</f>
        <v>15000</v>
      </c>
    </row>
    <row r="62" spans="5:10" ht="12.75">
      <c r="E62" s="2"/>
      <c r="F62" s="2"/>
      <c r="G62" s="2"/>
      <c r="H62" s="2"/>
      <c r="I62" s="2"/>
      <c r="J62" s="2"/>
    </row>
    <row r="63" spans="1:2" ht="12.75">
      <c r="A63">
        <v>3</v>
      </c>
      <c r="B63" s="3" t="s">
        <v>36</v>
      </c>
    </row>
    <row r="64" ht="12.75">
      <c r="C64" s="1"/>
    </row>
    <row r="65" spans="2:3" ht="12.75">
      <c r="B65" t="s">
        <v>17</v>
      </c>
      <c r="C65" s="4">
        <f>+'Datos Resultado '!E33</f>
        <v>2000000</v>
      </c>
    </row>
    <row r="66" ht="12.75">
      <c r="C66" s="1"/>
    </row>
    <row r="67" spans="2:7" ht="12.75">
      <c r="B67" t="s">
        <v>45</v>
      </c>
      <c r="G67">
        <v>0.18</v>
      </c>
    </row>
    <row r="69" ht="12.75">
      <c r="G69" t="s">
        <v>9</v>
      </c>
    </row>
    <row r="70" spans="7:10" ht="12.75">
      <c r="G70" t="s">
        <v>10</v>
      </c>
      <c r="H70" t="s">
        <v>11</v>
      </c>
      <c r="I70" t="s">
        <v>12</v>
      </c>
      <c r="J70" t="s">
        <v>33</v>
      </c>
    </row>
    <row r="71" spans="2:10" ht="12.75">
      <c r="B71" t="s">
        <v>3</v>
      </c>
      <c r="D71" s="15">
        <f>+$C$4*1000000</f>
        <v>30938000</v>
      </c>
      <c r="E71" s="15">
        <f>+IF(C65&gt;D71,D71,C65)</f>
        <v>2000000</v>
      </c>
      <c r="G71">
        <v>0.05</v>
      </c>
      <c r="H71">
        <v>0.08</v>
      </c>
      <c r="I71">
        <v>0.045</v>
      </c>
      <c r="J71">
        <v>0.12</v>
      </c>
    </row>
    <row r="72" spans="4:5" ht="12.75">
      <c r="D72" s="15"/>
      <c r="E72" s="15"/>
    </row>
    <row r="73" spans="2:10" ht="12.75">
      <c r="B73" t="s">
        <v>4</v>
      </c>
      <c r="D73" s="15">
        <f>+$C$4*1000000</f>
        <v>30938000</v>
      </c>
      <c r="E73" s="15">
        <f>+IF(C65&lt;D74,IF(C65&gt;D73,C65-D73,0),D74-D73)</f>
        <v>0</v>
      </c>
      <c r="G73">
        <v>0.04</v>
      </c>
      <c r="H73">
        <v>0.07</v>
      </c>
      <c r="I73">
        <v>0.035</v>
      </c>
      <c r="J73">
        <v>0.11</v>
      </c>
    </row>
    <row r="74" spans="2:5" ht="12.75">
      <c r="B74" t="s">
        <v>5</v>
      </c>
      <c r="D74" s="15">
        <f>+$C$4*10000000</f>
        <v>309380000</v>
      </c>
      <c r="E74" s="15"/>
    </row>
    <row r="75" spans="4:5" ht="12.75">
      <c r="D75" s="15"/>
      <c r="E75" s="15"/>
    </row>
    <row r="76" spans="2:10" ht="12.75">
      <c r="B76" t="s">
        <v>6</v>
      </c>
      <c r="D76" s="15">
        <f>+$C$4*10000000</f>
        <v>309380000</v>
      </c>
      <c r="E76" s="15">
        <f>+IF(C65&lt;D77,IF(C65&gt;D76,C65-D76,0),D77-D76)</f>
        <v>0</v>
      </c>
      <c r="G76">
        <v>0.035</v>
      </c>
      <c r="H76">
        <v>0.06</v>
      </c>
      <c r="I76">
        <v>0.03</v>
      </c>
      <c r="J76">
        <v>0.1</v>
      </c>
    </row>
    <row r="77" spans="2:5" ht="12.75">
      <c r="B77" t="s">
        <v>7</v>
      </c>
      <c r="D77" s="15">
        <f>+$C$4*100000000</f>
        <v>3093800000</v>
      </c>
      <c r="E77" s="15"/>
    </row>
    <row r="79" spans="2:10" ht="12.75">
      <c r="B79" t="s">
        <v>8</v>
      </c>
      <c r="D79" s="15">
        <f>+$C$4*100000000</f>
        <v>3093800000</v>
      </c>
      <c r="E79" s="15">
        <f>+IF(C65&gt;D79,C65-D79,0)</f>
        <v>0</v>
      </c>
      <c r="G79">
        <v>0.03</v>
      </c>
      <c r="H79">
        <v>0.05</v>
      </c>
      <c r="I79">
        <v>0.025</v>
      </c>
      <c r="J79">
        <v>0.09</v>
      </c>
    </row>
    <row r="80" spans="4:5" ht="12.75">
      <c r="D80" s="15"/>
      <c r="E80" s="15"/>
    </row>
    <row r="81" spans="4:5" ht="12.75">
      <c r="D81" s="15"/>
      <c r="E81" s="2">
        <f>SUM(E71:E79)</f>
        <v>2000000</v>
      </c>
    </row>
    <row r="83" spans="2:10" ht="12.75">
      <c r="B83" s="13"/>
      <c r="C83" s="13"/>
      <c r="D83" s="13"/>
      <c r="E83" s="14"/>
      <c r="F83" s="14"/>
      <c r="G83" s="17">
        <f>IF('Datos Resultado '!E34=1,+$G67*(G$71*$E$71+G$73*$E$73+G$76*$E$76+G$79*$E$79),0)</f>
        <v>0</v>
      </c>
      <c r="H83" s="17">
        <f>IF('Datos Resultado '!E34=2,+$G67*(H$71*$E$71+H$73*$E$73+H$76*$E$76+H$79*$E$79),0)</f>
        <v>28800</v>
      </c>
      <c r="I83" s="17">
        <f>IF('Datos Resultado '!E34=3,+$G67*(I$71*$E$71+I$73*$E$73+I$76*$E$76+I$79*$E$79),0)</f>
        <v>0</v>
      </c>
      <c r="J83" s="17">
        <f>IF('Datos Resultado '!E34=6,+$G67*(J$71*$E$71+J$73*$E$73+J$76*$E$76+J$79*$E$79),0)</f>
        <v>0</v>
      </c>
    </row>
    <row r="84" spans="2:10" ht="12.75">
      <c r="B84" s="13"/>
      <c r="E84" s="2"/>
      <c r="F84" s="2"/>
      <c r="H84" s="2"/>
      <c r="I84" s="2"/>
      <c r="J84" s="2"/>
    </row>
    <row r="85" spans="2:10" ht="12.75">
      <c r="B85" s="13" t="s">
        <v>15</v>
      </c>
      <c r="E85" s="2">
        <v>0</v>
      </c>
      <c r="F85" s="2"/>
      <c r="G85" s="10">
        <f>IF(G83&gt;0,IF(G83&gt;$E$85,G83,$E$85),0)</f>
        <v>0</v>
      </c>
      <c r="H85" s="10">
        <f>IF(H83&gt;0,IF(H83&gt;$E$85,H83,$E$85),0)</f>
        <v>28800</v>
      </c>
      <c r="I85" s="10">
        <f>IF(I83&gt;0,IF(I83&gt;$E$85,I83,$E$85),0)</f>
        <v>0</v>
      </c>
      <c r="J85" s="10">
        <f>IF(J83&gt;0,IF(J83&gt;$E$85,J83,$E$85),0)</f>
        <v>0</v>
      </c>
    </row>
    <row r="86" spans="5:10" ht="12.75">
      <c r="E86" s="2"/>
      <c r="F86" s="2"/>
      <c r="H86" s="2"/>
      <c r="I86" s="2"/>
      <c r="J86" s="2"/>
    </row>
    <row r="87" spans="2:10" ht="12.75">
      <c r="B87" t="s">
        <v>23</v>
      </c>
      <c r="E87" s="2"/>
      <c r="F87" s="2"/>
      <c r="G87" s="12">
        <f>IF(G85*$D$2&gt;0,(IF(G85*$D$2&lt;$C$8,$C$8,G85*$D$2)),0)</f>
        <v>0</v>
      </c>
      <c r="H87" s="12">
        <f>IF(H85*$D$2&gt;0,(IF(H85*$D$2&lt;$C$8,$C$8,H85*$D$2)),0)</f>
        <v>15000</v>
      </c>
      <c r="I87" s="12">
        <f>IF(I85*$D$2&gt;0,(IF(I85*$D$2&lt;$C$8,$C$8,I85*$D$2)),0)</f>
        <v>0</v>
      </c>
      <c r="J87" s="12">
        <f>IF(J85*$D$2&gt;0,(IF(J85*$D$2&lt;$C$8,$C$8,J85*$D$2)),0)</f>
        <v>0</v>
      </c>
    </row>
    <row r="88" spans="5:10" ht="12.75">
      <c r="E88" s="2"/>
      <c r="F88" s="2"/>
      <c r="G88" s="2"/>
      <c r="H88" s="2"/>
      <c r="I88" s="2"/>
      <c r="J88" s="2"/>
    </row>
    <row r="89" ht="12.75">
      <c r="C89" s="1"/>
    </row>
    <row r="90" spans="1:2" ht="12.75">
      <c r="A90">
        <v>4</v>
      </c>
      <c r="B90" s="3" t="s">
        <v>37</v>
      </c>
    </row>
    <row r="91" ht="12.75">
      <c r="C91" s="1"/>
    </row>
    <row r="92" spans="2:3" ht="12.75">
      <c r="B92" t="s">
        <v>17</v>
      </c>
      <c r="C92" s="4">
        <f>+'Datos Resultado '!E42</f>
        <v>1139000</v>
      </c>
    </row>
    <row r="93" ht="12.75">
      <c r="C93" s="1"/>
    </row>
    <row r="94" spans="2:7" ht="12.75">
      <c r="B94" t="s">
        <v>42</v>
      </c>
      <c r="G94">
        <v>0.07</v>
      </c>
    </row>
    <row r="96" ht="12.75">
      <c r="G96" t="s">
        <v>9</v>
      </c>
    </row>
    <row r="97" spans="7:10" ht="12.75">
      <c r="G97" t="s">
        <v>10</v>
      </c>
      <c r="H97" t="s">
        <v>11</v>
      </c>
      <c r="I97" t="s">
        <v>12</v>
      </c>
      <c r="J97" t="s">
        <v>33</v>
      </c>
    </row>
    <row r="98" spans="2:10" ht="12.75">
      <c r="B98" t="s">
        <v>3</v>
      </c>
      <c r="D98" s="15">
        <f>+$C$4*1000000</f>
        <v>30938000</v>
      </c>
      <c r="E98" s="15">
        <f>+IF(C92&gt;D98,D98,C92)</f>
        <v>1139000</v>
      </c>
      <c r="G98">
        <v>0.05</v>
      </c>
      <c r="H98">
        <v>0.08</v>
      </c>
      <c r="I98">
        <v>0.045</v>
      </c>
      <c r="J98">
        <v>0.12</v>
      </c>
    </row>
    <row r="99" spans="4:5" ht="12.75">
      <c r="D99" s="15"/>
      <c r="E99" s="15"/>
    </row>
    <row r="100" spans="2:10" ht="12.75">
      <c r="B100" t="s">
        <v>4</v>
      </c>
      <c r="D100" s="15">
        <f>+$C$4*1000000</f>
        <v>30938000</v>
      </c>
      <c r="E100" s="15">
        <f>+IF(C92&lt;D101,IF(C92&gt;D100,C92-D100,0),D101-D100)</f>
        <v>0</v>
      </c>
      <c r="G100">
        <v>0.04</v>
      </c>
      <c r="H100">
        <v>0.07</v>
      </c>
      <c r="I100">
        <v>0.035</v>
      </c>
      <c r="J100">
        <v>0.11</v>
      </c>
    </row>
    <row r="101" spans="2:5" ht="12.75">
      <c r="B101" t="s">
        <v>5</v>
      </c>
      <c r="D101" s="15">
        <f>+$C$4*10000000</f>
        <v>309380000</v>
      </c>
      <c r="E101" s="15"/>
    </row>
    <row r="102" spans="4:5" ht="12.75">
      <c r="D102" s="15"/>
      <c r="E102" s="15"/>
    </row>
    <row r="103" spans="2:10" ht="12.75">
      <c r="B103" t="s">
        <v>6</v>
      </c>
      <c r="D103" s="15">
        <f>+$C$4*10000000</f>
        <v>309380000</v>
      </c>
      <c r="E103" s="15">
        <f>+IF(C92&lt;D104,IF(C92&gt;D103,C92-D103,0),D104-D103)</f>
        <v>0</v>
      </c>
      <c r="G103">
        <v>0.035</v>
      </c>
      <c r="H103">
        <v>0.06</v>
      </c>
      <c r="I103">
        <v>0.03</v>
      </c>
      <c r="J103">
        <v>0.1</v>
      </c>
    </row>
    <row r="104" spans="2:5" ht="12.75">
      <c r="B104" t="s">
        <v>7</v>
      </c>
      <c r="D104" s="15">
        <f>+$C$4*100000000</f>
        <v>3093800000</v>
      </c>
      <c r="E104" s="15"/>
    </row>
    <row r="106" spans="2:10" ht="12.75">
      <c r="B106" t="s">
        <v>8</v>
      </c>
      <c r="D106" s="15">
        <f>+$C$4*100000000</f>
        <v>3093800000</v>
      </c>
      <c r="E106" s="15">
        <f>+IF(C92&gt;D106,C92-D106,0)</f>
        <v>0</v>
      </c>
      <c r="G106">
        <v>0.03</v>
      </c>
      <c r="H106">
        <v>0.05</v>
      </c>
      <c r="I106">
        <v>0.025</v>
      </c>
      <c r="J106">
        <v>0.09</v>
      </c>
    </row>
    <row r="107" spans="4:5" ht="12.75">
      <c r="D107" s="15"/>
      <c r="E107" s="15"/>
    </row>
    <row r="108" spans="4:5" ht="12.75">
      <c r="D108" s="15"/>
      <c r="E108" s="2">
        <f>SUM(E98:E106)</f>
        <v>1139000</v>
      </c>
    </row>
    <row r="110" spans="2:10" ht="12.75">
      <c r="B110" s="13"/>
      <c r="C110" s="13"/>
      <c r="D110" s="13"/>
      <c r="E110" s="14"/>
      <c r="F110" s="14"/>
      <c r="G110" s="17">
        <f>IF('Datos Resultado '!E43=1,+$G94*(G$98*$E$98+G$100*$E$100+G$103*$E$103+G$106*$E$106),0)</f>
        <v>0</v>
      </c>
      <c r="H110" s="17">
        <f>IF('Datos Resultado '!E43=2,+$G94*(H$98*$E$98+H$100*$E$100+H$103*$E$103+H$106*$E$106),0)</f>
        <v>6378.400000000001</v>
      </c>
      <c r="I110" s="17">
        <f>IF('Datos Resultado '!E43=3,+$G94*(I$98*$E$98+I$100*$E$100+I$103*$E$103+I$106*$E$106),0)</f>
        <v>0</v>
      </c>
      <c r="J110" s="17">
        <f>IF('Datos Resultado '!E43=6,+$G94*(J$98*$E$98+J$100*$E$100+J$103*$E$103+J$106*$E$106),0)</f>
        <v>0</v>
      </c>
    </row>
    <row r="111" spans="2:10" ht="12.75">
      <c r="B111" s="13"/>
      <c r="E111" s="2"/>
      <c r="F111" s="2"/>
      <c r="H111" s="2"/>
      <c r="I111" s="2"/>
      <c r="J111" s="2"/>
    </row>
    <row r="112" spans="2:10" ht="12.75">
      <c r="B112" s="13" t="s">
        <v>15</v>
      </c>
      <c r="E112" s="2">
        <v>0</v>
      </c>
      <c r="F112" s="2"/>
      <c r="G112" s="10">
        <f>IF(G110&gt;0,IF(G110&gt;$E$112,G110,$E$112),0)</f>
        <v>0</v>
      </c>
      <c r="H112" s="10">
        <f>IF(H110&gt;0,IF(H110&gt;$E$112,H110,$E$112),0)</f>
        <v>6378.400000000001</v>
      </c>
      <c r="I112" s="10">
        <f>IF(I110&gt;0,IF(I110&gt;$E$112,I110,$E$112),0)</f>
        <v>0</v>
      </c>
      <c r="J112" s="10">
        <f>IF(J110&gt;0,IF(J110&gt;$E$112,J110,$E$112),0)</f>
        <v>0</v>
      </c>
    </row>
    <row r="113" spans="5:10" ht="12.75">
      <c r="E113" s="2"/>
      <c r="F113" s="2"/>
      <c r="H113" s="2"/>
      <c r="I113" s="2"/>
      <c r="J113" s="2"/>
    </row>
    <row r="114" spans="2:10" ht="12.75">
      <c r="B114" t="s">
        <v>23</v>
      </c>
      <c r="E114" s="2"/>
      <c r="F114" s="2"/>
      <c r="G114" s="12">
        <f>IF(G112*$D$2&gt;0,(IF(G112*$D$2&lt;$C$8,$C$8,G112*$D$2)),0)</f>
        <v>0</v>
      </c>
      <c r="H114" s="12">
        <f>IF(H112*$D$2&gt;0,(IF(H112*$D$2&lt;$C$8,$C$8,H112*$D$2)),0)</f>
        <v>15000</v>
      </c>
      <c r="I114" s="12">
        <f>IF(I112*$D$2&gt;0,(IF(I112*$D$2&lt;$C$8,$C$8,I112*$D$2)),0)</f>
        <v>0</v>
      </c>
      <c r="J114" s="12">
        <f>IF(J112*$D$2&gt;0,(IF(J112*$D$2&lt;$C$8,$C$8,J112*$D$2)),0)</f>
        <v>0</v>
      </c>
    </row>
    <row r="115" spans="5:10" ht="12.75">
      <c r="E115" s="2"/>
      <c r="F115" s="2"/>
      <c r="G115" s="2"/>
      <c r="H115" s="2"/>
      <c r="I115" s="2"/>
      <c r="J115" s="2"/>
    </row>
    <row r="116" spans="1:2" ht="12.75">
      <c r="A116">
        <v>5</v>
      </c>
      <c r="B116" s="3" t="s">
        <v>38</v>
      </c>
    </row>
    <row r="117" ht="12.75">
      <c r="C117" s="1"/>
    </row>
    <row r="118" spans="2:3" ht="12.75">
      <c r="B118" t="s">
        <v>17</v>
      </c>
      <c r="C118" s="4">
        <f>+'Datos Resultado '!E51</f>
        <v>1139000</v>
      </c>
    </row>
    <row r="119" ht="12.75">
      <c r="C119" s="1"/>
    </row>
    <row r="120" spans="2:7" ht="12.75">
      <c r="B120" t="s">
        <v>41</v>
      </c>
      <c r="G120">
        <v>0.33</v>
      </c>
    </row>
    <row r="122" ht="12.75">
      <c r="G122" t="s">
        <v>9</v>
      </c>
    </row>
    <row r="123" spans="7:10" ht="12.75">
      <c r="G123" t="s">
        <v>10</v>
      </c>
      <c r="H123" t="s">
        <v>11</v>
      </c>
      <c r="I123" t="s">
        <v>12</v>
      </c>
      <c r="J123" t="s">
        <v>33</v>
      </c>
    </row>
    <row r="124" spans="2:10" ht="12.75">
      <c r="B124" t="s">
        <v>3</v>
      </c>
      <c r="D124" s="15">
        <f>+$C$4*1000000</f>
        <v>30938000</v>
      </c>
      <c r="E124" s="15">
        <f>+IF(C118&gt;D124,D124,C118)</f>
        <v>1139000</v>
      </c>
      <c r="G124">
        <v>0.05</v>
      </c>
      <c r="H124">
        <v>0.08</v>
      </c>
      <c r="I124">
        <v>0.045</v>
      </c>
      <c r="J124">
        <v>0.12</v>
      </c>
    </row>
    <row r="125" spans="4:5" ht="12.75">
      <c r="D125" s="15"/>
      <c r="E125" s="15"/>
    </row>
    <row r="126" spans="2:10" ht="12.75">
      <c r="B126" t="s">
        <v>4</v>
      </c>
      <c r="D126" s="15">
        <f>+$C$4*1000000</f>
        <v>30938000</v>
      </c>
      <c r="E126" s="15">
        <f>+IF(C118&lt;D127,IF(C118&gt;D126,C118-D126,0),D127-D126)</f>
        <v>0</v>
      </c>
      <c r="G126">
        <v>0.04</v>
      </c>
      <c r="H126">
        <v>0.07</v>
      </c>
      <c r="I126">
        <v>0.035</v>
      </c>
      <c r="J126">
        <v>0.11</v>
      </c>
    </row>
    <row r="127" spans="2:5" ht="12.75">
      <c r="B127" t="s">
        <v>5</v>
      </c>
      <c r="D127" s="15">
        <f>+$C$4*10000000</f>
        <v>309380000</v>
      </c>
      <c r="E127" s="15"/>
    </row>
    <row r="128" spans="4:5" ht="12.75">
      <c r="D128" s="15"/>
      <c r="E128" s="15"/>
    </row>
    <row r="129" spans="2:10" ht="12.75">
      <c r="B129" t="s">
        <v>6</v>
      </c>
      <c r="D129" s="15">
        <f>+$C$4*10000000</f>
        <v>309380000</v>
      </c>
      <c r="E129" s="15">
        <f>+IF(C118&lt;D130,IF(C118&gt;D129,C118-D129,0),D130-D129)</f>
        <v>0</v>
      </c>
      <c r="G129">
        <v>0.035</v>
      </c>
      <c r="H129">
        <v>0.06</v>
      </c>
      <c r="I129">
        <v>0.03</v>
      </c>
      <c r="J129">
        <v>0.1</v>
      </c>
    </row>
    <row r="130" spans="2:5" ht="12.75">
      <c r="B130" t="s">
        <v>7</v>
      </c>
      <c r="D130" s="15">
        <f>+$C$4*100000000</f>
        <v>3093800000</v>
      </c>
      <c r="E130" s="15"/>
    </row>
    <row r="132" spans="2:10" ht="12.75">
      <c r="B132" t="s">
        <v>8</v>
      </c>
      <c r="D132" s="15">
        <f>+$C$4*100000000</f>
        <v>3093800000</v>
      </c>
      <c r="E132" s="15">
        <f>+IF(C118&gt;D132,C118-D132,0)</f>
        <v>0</v>
      </c>
      <c r="G132">
        <v>0.03</v>
      </c>
      <c r="H132">
        <v>0.05</v>
      </c>
      <c r="I132">
        <v>0.025</v>
      </c>
      <c r="J132">
        <v>0.09</v>
      </c>
    </row>
    <row r="133" spans="4:5" ht="12.75">
      <c r="D133" s="15"/>
      <c r="E133" s="15"/>
    </row>
    <row r="134" spans="4:5" ht="12.75">
      <c r="D134" s="15"/>
      <c r="E134" s="2">
        <f>SUM(E124:E132)</f>
        <v>1139000</v>
      </c>
    </row>
    <row r="136" spans="2:10" ht="12.75">
      <c r="B136" s="13"/>
      <c r="C136" s="13"/>
      <c r="D136" s="13"/>
      <c r="E136" s="14"/>
      <c r="F136" s="14"/>
      <c r="G136" s="17">
        <f>IF('Datos Resultado '!E52=1,+$G120*(G$124*$E$124+G$126*$E$126+G$129*$E$129+G$132*$E$132),0)</f>
        <v>0</v>
      </c>
      <c r="H136" s="17">
        <f>IF('Datos Resultado '!E52=2,+$G120*(H$124*$E$124+H$126*$E$126+H$129*$E$129+H$132*$E$132),0)</f>
        <v>30069.600000000002</v>
      </c>
      <c r="I136" s="17">
        <f>IF('Datos Resultado '!E52=3,+$G120*(I$124*$E$124+I$126*$E$126+I$129*$E$129+I$132*$E$132),0)</f>
        <v>0</v>
      </c>
      <c r="J136" s="17">
        <f>IF('Datos Resultado '!E52=6,+$G120*(J$124*$E$124+J$126*$E$126+J$129*$E$129+J$132*$E$132),0)</f>
        <v>0</v>
      </c>
    </row>
    <row r="137" spans="2:10" ht="12.75">
      <c r="B137" s="13"/>
      <c r="E137" s="2"/>
      <c r="F137" s="2"/>
      <c r="H137" s="2"/>
      <c r="I137" s="2"/>
      <c r="J137" s="2"/>
    </row>
    <row r="138" spans="2:10" ht="12.75">
      <c r="B138" s="13" t="s">
        <v>15</v>
      </c>
      <c r="E138" s="2">
        <v>0</v>
      </c>
      <c r="F138" s="2"/>
      <c r="G138" s="10">
        <f>IF(G136&gt;0,IF(G136&gt;$E$138,G136,$E$138),0)</f>
        <v>0</v>
      </c>
      <c r="H138" s="10">
        <f>IF(H136&gt;0,IF(H136&gt;$E$138,H136,$E$138),0)</f>
        <v>30069.600000000002</v>
      </c>
      <c r="I138" s="10">
        <f>IF(I136&gt;0,IF(I136&gt;$E$138,I136,$E$138),0)</f>
        <v>0</v>
      </c>
      <c r="J138" s="10">
        <f>IF(J136&gt;0,IF(J136&gt;$E$138,J136,$E$138),0)</f>
        <v>0</v>
      </c>
    </row>
    <row r="139" spans="5:10" ht="12.75">
      <c r="E139" s="2"/>
      <c r="F139" s="2"/>
      <c r="H139" s="2"/>
      <c r="I139" s="2"/>
      <c r="J139" s="2"/>
    </row>
    <row r="140" spans="2:10" ht="12.75">
      <c r="B140" t="s">
        <v>23</v>
      </c>
      <c r="E140" s="2"/>
      <c r="F140" s="2"/>
      <c r="G140" s="12">
        <f>IF(G138*$D$2&gt;0,(IF(G138*$D$2&lt;$C$8,$C$8,G138*$D$2)),0)</f>
        <v>0</v>
      </c>
      <c r="H140" s="12">
        <f>IF(H138*$D$2&gt;0,(IF(H138*$D$2&lt;$C$8,$C$8,H138*$D$2)),0)</f>
        <v>15000</v>
      </c>
      <c r="I140" s="12">
        <f>IF(I138*$D$2&gt;0,(IF(I138*$D$2&lt;$C$8,$C$8,I138*$D$2)),0)</f>
        <v>0</v>
      </c>
      <c r="J140" s="12">
        <f>IF(J138*$D$2&gt;0,(IF(J138*$D$2&lt;$C$8,$C$8,J138*$D$2)),0)</f>
        <v>0</v>
      </c>
    </row>
    <row r="141" spans="5:10" ht="12.75">
      <c r="E141" s="2"/>
      <c r="F141" s="2"/>
      <c r="G141" s="2"/>
      <c r="H141" s="2"/>
      <c r="I141" s="2"/>
      <c r="J141" s="2"/>
    </row>
    <row r="142" spans="1:2" ht="12.75">
      <c r="A142">
        <v>6</v>
      </c>
      <c r="B142" s="3" t="s">
        <v>39</v>
      </c>
    </row>
    <row r="143" ht="12.75">
      <c r="C143" s="1"/>
    </row>
    <row r="144" spans="2:3" ht="12.75">
      <c r="B144" t="s">
        <v>17</v>
      </c>
      <c r="C144" s="4">
        <f>+'Datos Resultado '!E60</f>
        <v>20608000</v>
      </c>
    </row>
    <row r="145" ht="12.75">
      <c r="C145" s="1"/>
    </row>
    <row r="146" spans="2:7" ht="12.75">
      <c r="B146" t="s">
        <v>40</v>
      </c>
      <c r="G146">
        <v>1</v>
      </c>
    </row>
    <row r="148" ht="12.75">
      <c r="G148" t="s">
        <v>9</v>
      </c>
    </row>
    <row r="149" spans="7:10" ht="12.75">
      <c r="G149" t="s">
        <v>10</v>
      </c>
      <c r="H149" t="s">
        <v>11</v>
      </c>
      <c r="I149" t="s">
        <v>12</v>
      </c>
      <c r="J149" t="s">
        <v>33</v>
      </c>
    </row>
    <row r="150" spans="2:10" ht="12.75">
      <c r="B150" t="s">
        <v>3</v>
      </c>
      <c r="D150" s="15">
        <f>+$C$4*1000000</f>
        <v>30938000</v>
      </c>
      <c r="E150" s="15">
        <f>+IF(C144&gt;D150,D150,C144)</f>
        <v>20608000</v>
      </c>
      <c r="G150">
        <v>0.05</v>
      </c>
      <c r="H150">
        <v>0.08</v>
      </c>
      <c r="I150">
        <v>0.045</v>
      </c>
      <c r="J150">
        <v>0.12</v>
      </c>
    </row>
    <row r="151" spans="4:5" ht="12.75">
      <c r="D151" s="15"/>
      <c r="E151" s="15"/>
    </row>
    <row r="152" spans="2:10" ht="12.75">
      <c r="B152" t="s">
        <v>4</v>
      </c>
      <c r="D152" s="15">
        <f>+$C$4*1000000</f>
        <v>30938000</v>
      </c>
      <c r="E152" s="15">
        <f>+IF(C144&lt;D153,IF(C144&gt;D152,C144-D152,0),D153-D152)</f>
        <v>0</v>
      </c>
      <c r="G152">
        <v>0.04</v>
      </c>
      <c r="H152">
        <v>0.07</v>
      </c>
      <c r="I152">
        <v>0.035</v>
      </c>
      <c r="J152">
        <v>0.11</v>
      </c>
    </row>
    <row r="153" spans="2:5" ht="12.75">
      <c r="B153" t="s">
        <v>5</v>
      </c>
      <c r="D153" s="15">
        <f>+$C$4*10000000</f>
        <v>309380000</v>
      </c>
      <c r="E153" s="15"/>
    </row>
    <row r="154" spans="4:5" ht="12.75">
      <c r="D154" s="15"/>
      <c r="E154" s="15"/>
    </row>
    <row r="155" spans="2:10" ht="12.75">
      <c r="B155" t="s">
        <v>6</v>
      </c>
      <c r="D155" s="15">
        <f>+$C$4*10000000</f>
        <v>309380000</v>
      </c>
      <c r="E155" s="15">
        <f>+IF(C144&lt;D156,IF(C144&gt;D155,C144-D155,0),D156-D155)</f>
        <v>0</v>
      </c>
      <c r="G155">
        <v>0.035</v>
      </c>
      <c r="H155">
        <v>0.06</v>
      </c>
      <c r="I155">
        <v>0.03</v>
      </c>
      <c r="J155">
        <v>0.1</v>
      </c>
    </row>
    <row r="156" spans="2:5" ht="12.75">
      <c r="B156" t="s">
        <v>7</v>
      </c>
      <c r="D156" s="15">
        <f>+$C$4*100000000</f>
        <v>3093800000</v>
      </c>
      <c r="E156" s="15"/>
    </row>
    <row r="158" spans="2:10" ht="12.75">
      <c r="B158" t="s">
        <v>8</v>
      </c>
      <c r="D158" s="15">
        <f>+$C$4*100000000</f>
        <v>3093800000</v>
      </c>
      <c r="E158" s="15">
        <f>+IF(C144&gt;D158,C144-D158,0)</f>
        <v>0</v>
      </c>
      <c r="G158">
        <v>0.03</v>
      </c>
      <c r="H158">
        <v>0.05</v>
      </c>
      <c r="I158">
        <v>0.025</v>
      </c>
      <c r="J158">
        <v>0.09</v>
      </c>
    </row>
    <row r="159" spans="4:5" ht="12.75">
      <c r="D159" s="15"/>
      <c r="E159" s="15"/>
    </row>
    <row r="160" spans="4:5" ht="12.75">
      <c r="D160" s="15"/>
      <c r="E160" s="2">
        <f>SUM(E150:E158)</f>
        <v>20608000</v>
      </c>
    </row>
    <row r="162" spans="2:10" ht="12.75">
      <c r="B162" s="13"/>
      <c r="C162" s="13"/>
      <c r="D162" s="13"/>
      <c r="E162" s="14"/>
      <c r="F162" s="14"/>
      <c r="G162" s="17">
        <f>IF('Datos Resultado '!E61=1,+$G146*(G$150*$E$150+G$152*$E$152+G$155*$E$155+G$158*$E$158),0)</f>
        <v>0</v>
      </c>
      <c r="H162" s="17">
        <f>IF('Datos Resultado '!E61=2,+$G146*(H$150*$E$150+H$152*$E$152+H$155*$E$155+H$158*$E$158),0)</f>
        <v>1648640</v>
      </c>
      <c r="I162" s="17">
        <f>IF('Datos Resultado '!E61=3,+$G146*(I$150*$E$150+I$152*$E$152+I$155*$E$155+I$158*$E$158),0)</f>
        <v>0</v>
      </c>
      <c r="J162" s="17">
        <f>IF('Datos Resultado '!E61=6,+$G146*(J$150*$E$150+J$152*$E$152+J$155*$E$155+J$158*$E$158),0)</f>
        <v>0</v>
      </c>
    </row>
    <row r="163" spans="2:10" ht="12.75">
      <c r="B163" s="13"/>
      <c r="E163" s="2"/>
      <c r="F163" s="2"/>
      <c r="H163" s="2"/>
      <c r="I163" s="2"/>
      <c r="J163" s="2"/>
    </row>
    <row r="164" spans="2:10" ht="12.75">
      <c r="B164" s="13" t="s">
        <v>15</v>
      </c>
      <c r="E164" s="2">
        <v>0</v>
      </c>
      <c r="F164" s="2"/>
      <c r="G164" s="10">
        <f>IF(G162&gt;0,IF(G162&gt;$E$164,G162,$E$164),0)</f>
        <v>0</v>
      </c>
      <c r="H164" s="10">
        <f>IF(H162&gt;0,IF(H162&gt;$E$164,H162,$E$164),0)</f>
        <v>1648640</v>
      </c>
      <c r="I164" s="10">
        <f>IF(I162&gt;0,IF(I162&gt;$E$164,I162,$E$164),0)</f>
        <v>0</v>
      </c>
      <c r="J164" s="10">
        <f>IF(J162&gt;0,IF(J162&gt;$E$164,J162,$E$164),0)</f>
        <v>0</v>
      </c>
    </row>
    <row r="165" spans="5:10" ht="12.75">
      <c r="E165" s="2"/>
      <c r="F165" s="2"/>
      <c r="H165" s="2"/>
      <c r="I165" s="2"/>
      <c r="J165" s="2"/>
    </row>
    <row r="166" spans="2:10" ht="12.75">
      <c r="B166" t="s">
        <v>23</v>
      </c>
      <c r="E166" s="2"/>
      <c r="F166" s="2"/>
      <c r="G166" s="12">
        <f>IF(G164*$D$2&gt;0,(IF(G164*$D$2&lt;$C$8,$C$8,G164*$D$2)),0)</f>
        <v>0</v>
      </c>
      <c r="H166" s="12">
        <f>IF(H164*$D$2&gt;0,(IF(H164*$D$2&lt;$C$8,$C$8,H164*$D$2)),0)</f>
        <v>32972.8</v>
      </c>
      <c r="I166" s="12">
        <f>IF(I164*$D$2&gt;0,(IF(I164*$D$2&lt;$C$8,$C$8,I164*$D$2)),0)</f>
        <v>0</v>
      </c>
      <c r="J166" s="12">
        <f>IF(J164*$D$2&gt;0,(IF(J164*$D$2&lt;$C$8,$C$8,J164*$D$2)),0)</f>
        <v>0</v>
      </c>
    </row>
    <row r="169" spans="2:3" ht="15">
      <c r="B169" s="22" t="s">
        <v>48</v>
      </c>
      <c r="C169" s="23"/>
    </row>
    <row r="170" spans="1:3" ht="12.75">
      <c r="A170">
        <v>7</v>
      </c>
      <c r="B170" s="3" t="s">
        <v>34</v>
      </c>
      <c r="C170" s="15"/>
    </row>
    <row r="171" ht="12.75">
      <c r="C171" s="15"/>
    </row>
    <row r="172" spans="2:3" ht="12.75">
      <c r="B172" t="s">
        <v>17</v>
      </c>
      <c r="C172" s="16">
        <f>+'Datos Resultado '!E69</f>
        <v>2000000</v>
      </c>
    </row>
    <row r="173" ht="12.75">
      <c r="C173" s="15"/>
    </row>
    <row r="174" spans="2:7" ht="12.75">
      <c r="B174" t="s">
        <v>43</v>
      </c>
      <c r="G174">
        <v>0.35</v>
      </c>
    </row>
    <row r="176" ht="12.75">
      <c r="G176" t="s">
        <v>9</v>
      </c>
    </row>
    <row r="177" spans="7:8" ht="12.75">
      <c r="G177" t="s">
        <v>13</v>
      </c>
      <c r="H177" t="s">
        <v>14</v>
      </c>
    </row>
    <row r="178" spans="2:8" ht="12.75">
      <c r="B178" t="s">
        <v>3</v>
      </c>
      <c r="D178" s="15">
        <f>+$C$4*1000000</f>
        <v>30938000</v>
      </c>
      <c r="E178" s="15">
        <f>+IF(C172&gt;D178,D178,C172)</f>
        <v>2000000</v>
      </c>
      <c r="G178">
        <v>0.13</v>
      </c>
      <c r="H178">
        <v>0.1</v>
      </c>
    </row>
    <row r="179" spans="4:5" ht="12.75">
      <c r="D179" s="15"/>
      <c r="E179" s="15"/>
    </row>
    <row r="180" spans="2:8" ht="12.75">
      <c r="B180" t="s">
        <v>4</v>
      </c>
      <c r="D180" s="15">
        <f>+$C$4*1000000</f>
        <v>30938000</v>
      </c>
      <c r="E180" s="15">
        <f>+IF(C172&lt;D181,IF(C172&gt;D180,C172-D180,0),D181-D180)</f>
        <v>0</v>
      </c>
      <c r="G180">
        <v>0.12</v>
      </c>
      <c r="H180">
        <v>0.09</v>
      </c>
    </row>
    <row r="181" spans="2:5" ht="12.75">
      <c r="B181" t="s">
        <v>5</v>
      </c>
      <c r="D181" s="15">
        <f>+$C$4*10000000</f>
        <v>309380000</v>
      </c>
      <c r="E181" s="15"/>
    </row>
    <row r="182" spans="4:5" ht="12.75">
      <c r="D182" s="15"/>
      <c r="E182" s="15"/>
    </row>
    <row r="183" spans="2:8" ht="12.75">
      <c r="B183" t="s">
        <v>6</v>
      </c>
      <c r="D183" s="15">
        <f>+$C$4*10000000</f>
        <v>309380000</v>
      </c>
      <c r="E183" s="15">
        <f>+IF(C172&lt;D184,IF(C172&gt;D183,C172-D183,0),D184-D183)</f>
        <v>0</v>
      </c>
      <c r="G183">
        <v>0.11</v>
      </c>
      <c r="H183">
        <v>0.08</v>
      </c>
    </row>
    <row r="184" spans="2:5" ht="12.75">
      <c r="B184" t="s">
        <v>7</v>
      </c>
      <c r="D184" s="15">
        <f>+$C$4*100000000</f>
        <v>3093800000</v>
      </c>
      <c r="E184" s="15"/>
    </row>
    <row r="186" spans="2:8" ht="12.75">
      <c r="B186" t="s">
        <v>8</v>
      </c>
      <c r="D186" s="15">
        <f>+$C$4*100000000</f>
        <v>3093800000</v>
      </c>
      <c r="E186" s="15">
        <f>+IF(C172&gt;D186,C172-D186,0)</f>
        <v>0</v>
      </c>
      <c r="G186">
        <v>0.1</v>
      </c>
      <c r="H186">
        <v>0.07</v>
      </c>
    </row>
    <row r="187" spans="4:5" ht="12.75">
      <c r="D187" s="15"/>
      <c r="E187" s="15"/>
    </row>
    <row r="188" spans="4:5" ht="12.75">
      <c r="D188" s="15"/>
      <c r="E188" s="2">
        <f>SUM(E178:E186)</f>
        <v>2000000</v>
      </c>
    </row>
    <row r="190" spans="2:8" ht="12.75">
      <c r="B190" s="13"/>
      <c r="C190" s="13"/>
      <c r="D190" s="13"/>
      <c r="E190" s="14"/>
      <c r="F190" s="14"/>
      <c r="G190" s="17">
        <f>IF('Datos Resultado '!E70=4,+$G174*(G$178*$E$178+G$180*$E$180+G$183*$E$183+G$186*$E$186),0)</f>
        <v>0</v>
      </c>
      <c r="H190" s="17">
        <f>IF('Datos Resultado '!E70=5,+$G174*(H$178*$E$178+H$180*$E$180+H$183*$E$183+H$186*$E$186),0)</f>
        <v>70000</v>
      </c>
    </row>
    <row r="191" spans="2:8" ht="12.75">
      <c r="B191" s="13"/>
      <c r="E191" s="2"/>
      <c r="F191" s="2"/>
      <c r="H191" s="2"/>
    </row>
    <row r="192" spans="2:8" ht="12.75">
      <c r="B192" s="13" t="s">
        <v>15</v>
      </c>
      <c r="E192" s="2">
        <v>0</v>
      </c>
      <c r="F192" s="2"/>
      <c r="G192" s="10">
        <f>IF(G190&gt;0,IF(G190&gt;$E$192,G190,$E$192),0)</f>
        <v>0</v>
      </c>
      <c r="H192" s="10">
        <f>IF(H190&gt;0,IF(H190&gt;$E$192,H190,$E$192),0)</f>
        <v>70000</v>
      </c>
    </row>
    <row r="193" spans="5:8" ht="12.75">
      <c r="E193" s="2"/>
      <c r="F193" s="2"/>
      <c r="H193" s="2"/>
    </row>
    <row r="194" spans="2:8" ht="12.75">
      <c r="B194" t="s">
        <v>23</v>
      </c>
      <c r="E194" s="2"/>
      <c r="F194" s="2"/>
      <c r="G194" s="12">
        <f>IF(G192*$D$2&gt;0,(IF(G192*$D$2&lt;$C$8,$C$8,G192*$D$2)),0)</f>
        <v>0</v>
      </c>
      <c r="H194" s="12">
        <f>IF(H192*$D$2&gt;0,(IF(H192*$D$2&lt;$C$8,$C$8,H192*$D$2)),0)</f>
        <v>15000</v>
      </c>
    </row>
    <row r="195" spans="5:8" ht="12.75">
      <c r="E195" s="2"/>
      <c r="F195" s="2"/>
      <c r="G195" s="2"/>
      <c r="H195" s="2"/>
    </row>
    <row r="196" spans="1:2" ht="12.75">
      <c r="A196">
        <v>8</v>
      </c>
      <c r="B196" s="3" t="s">
        <v>35</v>
      </c>
    </row>
    <row r="197" ht="12.75">
      <c r="C197" s="15"/>
    </row>
    <row r="198" spans="2:3" ht="12.75">
      <c r="B198" t="s">
        <v>17</v>
      </c>
      <c r="C198" s="16">
        <f>+'Datos Resultado '!E77</f>
        <v>2000000</v>
      </c>
    </row>
    <row r="199" ht="12.75">
      <c r="C199" s="15"/>
    </row>
    <row r="200" spans="2:7" ht="12.75">
      <c r="B200" t="s">
        <v>44</v>
      </c>
      <c r="G200">
        <v>0.2</v>
      </c>
    </row>
    <row r="202" ht="12.75">
      <c r="G202" t="s">
        <v>9</v>
      </c>
    </row>
    <row r="203" spans="7:8" ht="12.75">
      <c r="G203" t="s">
        <v>10</v>
      </c>
      <c r="H203" t="s">
        <v>11</v>
      </c>
    </row>
    <row r="204" spans="2:8" ht="12.75">
      <c r="B204" t="s">
        <v>3</v>
      </c>
      <c r="D204" s="15">
        <f>+$C$4*1000000</f>
        <v>30938000</v>
      </c>
      <c r="E204" s="15">
        <f>+IF(C198&gt;D204,D204,C198)</f>
        <v>2000000</v>
      </c>
      <c r="G204">
        <v>0.13</v>
      </c>
      <c r="H204">
        <v>0.1</v>
      </c>
    </row>
    <row r="205" spans="4:5" ht="12.75">
      <c r="D205" s="15"/>
      <c r="E205" s="15"/>
    </row>
    <row r="206" spans="2:8" ht="12.75">
      <c r="B206" t="s">
        <v>4</v>
      </c>
      <c r="D206" s="15">
        <f>+$C$4*1000000</f>
        <v>30938000</v>
      </c>
      <c r="E206" s="15">
        <f>+IF(C198&lt;D207,IF(C198&gt;D206,C198-D206,0),D207-D206)</f>
        <v>0</v>
      </c>
      <c r="G206">
        <v>0.12</v>
      </c>
      <c r="H206">
        <v>0.09</v>
      </c>
    </row>
    <row r="207" spans="2:5" ht="12.75">
      <c r="B207" t="s">
        <v>5</v>
      </c>
      <c r="D207" s="15">
        <f>+$C$4*10000000</f>
        <v>309380000</v>
      </c>
      <c r="E207" s="15"/>
    </row>
    <row r="208" spans="4:5" ht="12.75">
      <c r="D208" s="15"/>
      <c r="E208" s="15"/>
    </row>
    <row r="209" spans="2:8" ht="12.75">
      <c r="B209" t="s">
        <v>6</v>
      </c>
      <c r="D209" s="15">
        <f>+$C$4*10000000</f>
        <v>309380000</v>
      </c>
      <c r="E209" s="15">
        <f>+IF(C198&lt;D210,IF(C198&gt;D209,C198-D209,0),D210-D209)</f>
        <v>0</v>
      </c>
      <c r="G209">
        <v>0.11</v>
      </c>
      <c r="H209">
        <v>0.08</v>
      </c>
    </row>
    <row r="210" spans="2:5" ht="12.75">
      <c r="B210" t="s">
        <v>7</v>
      </c>
      <c r="D210" s="15">
        <f>+$C$4*100000000</f>
        <v>3093800000</v>
      </c>
      <c r="E210" s="15"/>
    </row>
    <row r="212" spans="2:8" ht="12.75">
      <c r="B212" t="s">
        <v>8</v>
      </c>
      <c r="D212" s="15">
        <f>+$C$4*100000000</f>
        <v>3093800000</v>
      </c>
      <c r="E212" s="15">
        <f>+IF(C198&gt;D212,C198-D212,0)</f>
        <v>0</v>
      </c>
      <c r="G212">
        <v>0.1</v>
      </c>
      <c r="H212">
        <v>0.07</v>
      </c>
    </row>
    <row r="213" spans="4:5" ht="12.75">
      <c r="D213" s="15"/>
      <c r="E213" s="15"/>
    </row>
    <row r="214" spans="4:5" ht="12.75">
      <c r="D214" s="15"/>
      <c r="E214" s="2">
        <f>SUM(E204:E212)</f>
        <v>2000000</v>
      </c>
    </row>
    <row r="216" spans="2:8" ht="12.75">
      <c r="B216" s="13"/>
      <c r="C216" s="13"/>
      <c r="D216" s="13"/>
      <c r="E216" s="14"/>
      <c r="F216" s="14"/>
      <c r="G216" s="17">
        <f>IF('Datos Resultado '!E78=4,+$G200*(G$204*$E$204+G$206*$E$206+G$209*$E$209+G$212*$E$212),0)</f>
        <v>52000</v>
      </c>
      <c r="H216" s="17">
        <f>IF('Datos Resultado '!E78=5,+$G200*(H$204*$E$204+H$206*$E$206+H$209*$E$209+H$212*$E$212),0)</f>
        <v>0</v>
      </c>
    </row>
    <row r="217" spans="2:8" ht="12.75">
      <c r="B217" s="13"/>
      <c r="E217" s="2"/>
      <c r="F217" s="2"/>
      <c r="H217" s="2"/>
    </row>
    <row r="218" spans="2:8" ht="12.75">
      <c r="B218" s="13" t="s">
        <v>15</v>
      </c>
      <c r="E218" s="2">
        <v>0</v>
      </c>
      <c r="F218" s="2"/>
      <c r="G218" s="10">
        <f>IF(G216&gt;0,IF(G216&gt;$E$218,G216,$E$218),0)</f>
        <v>52000</v>
      </c>
      <c r="H218" s="10">
        <f>IF(H216&gt;0,IF(H216&gt;$E$218,H216,$E$218),0)</f>
        <v>0</v>
      </c>
    </row>
    <row r="219" spans="5:8" ht="12.75">
      <c r="E219" s="2"/>
      <c r="F219" s="2"/>
      <c r="H219" s="2"/>
    </row>
    <row r="220" spans="2:8" ht="12.75">
      <c r="B220" t="s">
        <v>23</v>
      </c>
      <c r="E220" s="2"/>
      <c r="F220" s="2"/>
      <c r="G220" s="12">
        <f>IF(G218*$D$2&gt;0,(IF(G218*$D$2&lt;$C$8,$C$8,G218*$D$2)),0)</f>
        <v>15000</v>
      </c>
      <c r="H220" s="12">
        <f>IF(H218*$D$2&gt;0,(IF(H218*$D$2&lt;$C$8,$C$8,H218*$D$2)),0)</f>
        <v>0</v>
      </c>
    </row>
    <row r="221" spans="5:8" ht="12.75">
      <c r="E221" s="2"/>
      <c r="F221" s="2"/>
      <c r="G221" s="2"/>
      <c r="H221" s="2"/>
    </row>
    <row r="222" spans="1:2" ht="12.75">
      <c r="A222">
        <v>9</v>
      </c>
      <c r="B222" s="3" t="s">
        <v>36</v>
      </c>
    </row>
    <row r="223" ht="12.75">
      <c r="C223" s="1"/>
    </row>
    <row r="224" spans="2:3" ht="12.75">
      <c r="B224" t="s">
        <v>17</v>
      </c>
      <c r="C224" s="4">
        <f>+'Datos Resultado '!E86</f>
        <v>2000000</v>
      </c>
    </row>
    <row r="225" ht="12.75">
      <c r="C225" s="1"/>
    </row>
    <row r="226" spans="2:7" ht="12.75">
      <c r="B226" t="s">
        <v>45</v>
      </c>
      <c r="G226">
        <v>0.15</v>
      </c>
    </row>
    <row r="228" ht="12.75">
      <c r="G228" t="s">
        <v>9</v>
      </c>
    </row>
    <row r="229" spans="7:8" ht="12.75">
      <c r="G229" t="s">
        <v>10</v>
      </c>
      <c r="H229" t="s">
        <v>11</v>
      </c>
    </row>
    <row r="230" spans="2:8" ht="12.75">
      <c r="B230" t="s">
        <v>3</v>
      </c>
      <c r="D230" s="15">
        <f>+$C$4*1000000</f>
        <v>30938000</v>
      </c>
      <c r="E230" s="15">
        <f>+IF(C224&gt;D230,D230,C224)</f>
        <v>2000000</v>
      </c>
      <c r="G230">
        <v>0.13</v>
      </c>
      <c r="H230">
        <v>0.1</v>
      </c>
    </row>
    <row r="231" spans="4:5" ht="12.75">
      <c r="D231" s="15"/>
      <c r="E231" s="15"/>
    </row>
    <row r="232" spans="2:8" ht="12.75">
      <c r="B232" t="s">
        <v>4</v>
      </c>
      <c r="D232" s="15">
        <f>+$C$4*1000000</f>
        <v>30938000</v>
      </c>
      <c r="E232" s="15">
        <f>+IF(C224&lt;D233,IF(C224&gt;D232,C224-D232,0),D233-D232)</f>
        <v>0</v>
      </c>
      <c r="G232">
        <v>0.12</v>
      </c>
      <c r="H232">
        <v>0.09</v>
      </c>
    </row>
    <row r="233" spans="2:5" ht="12.75">
      <c r="B233" t="s">
        <v>5</v>
      </c>
      <c r="D233" s="15">
        <f>+$C$4*10000000</f>
        <v>309380000</v>
      </c>
      <c r="E233" s="15"/>
    </row>
    <row r="234" spans="4:5" ht="12.75">
      <c r="D234" s="15"/>
      <c r="E234" s="15"/>
    </row>
    <row r="235" spans="2:8" ht="12.75">
      <c r="B235" t="s">
        <v>6</v>
      </c>
      <c r="D235" s="15">
        <f>+$C$4*10000000</f>
        <v>309380000</v>
      </c>
      <c r="E235" s="15">
        <f>+IF(C224&lt;D236,IF(C224&gt;D235,C224-D235,0),D236-D235)</f>
        <v>0</v>
      </c>
      <c r="G235">
        <v>0.11</v>
      </c>
      <c r="H235">
        <v>0.08</v>
      </c>
    </row>
    <row r="236" spans="2:5" ht="12.75">
      <c r="B236" t="s">
        <v>7</v>
      </c>
      <c r="D236" s="15">
        <f>+$C$4*100000000</f>
        <v>3093800000</v>
      </c>
      <c r="E236" s="15"/>
    </row>
    <row r="238" spans="2:8" ht="12.75">
      <c r="B238" t="s">
        <v>8</v>
      </c>
      <c r="D238" s="15">
        <f>+$C$4*100000000</f>
        <v>3093800000</v>
      </c>
      <c r="E238" s="15">
        <f>+IF(C224&gt;D238,C224-D238,0)</f>
        <v>0</v>
      </c>
      <c r="G238">
        <v>0.1</v>
      </c>
      <c r="H238">
        <v>0.07</v>
      </c>
    </row>
    <row r="239" spans="4:5" ht="12.75">
      <c r="D239" s="15"/>
      <c r="E239" s="15"/>
    </row>
    <row r="240" spans="4:5" ht="12.75">
      <c r="D240" s="15"/>
      <c r="E240" s="2">
        <f>SUM(E230:E238)</f>
        <v>2000000</v>
      </c>
    </row>
    <row r="242" spans="2:8" ht="12.75">
      <c r="B242" s="13"/>
      <c r="C242" s="13"/>
      <c r="D242" s="13"/>
      <c r="E242" s="14"/>
      <c r="F242" s="14"/>
      <c r="G242" s="17">
        <f>IF('Datos Resultado '!E87=4,+$G226*(G$230*$E$230+G$232*$E$232+G$235*$E$235+G$238*$E$238),0)</f>
        <v>39000</v>
      </c>
      <c r="H242" s="17">
        <f>IF('Datos Resultado '!F87=5,+$G226*(H$230*$E$230+H$232*$E$232+H$235*$E$235+H$238*$E$238),0)</f>
        <v>0</v>
      </c>
    </row>
    <row r="243" spans="2:8" ht="12.75">
      <c r="B243" s="13"/>
      <c r="E243" s="2"/>
      <c r="F243" s="2"/>
      <c r="H243" s="2"/>
    </row>
    <row r="244" spans="2:8" ht="12.75">
      <c r="B244" s="13" t="s">
        <v>15</v>
      </c>
      <c r="E244" s="2">
        <v>0</v>
      </c>
      <c r="F244" s="2"/>
      <c r="G244" s="10">
        <f>IF(G242&gt;0,IF(G242&gt;$E$244,G242,$E$244),0)</f>
        <v>39000</v>
      </c>
      <c r="H244" s="10">
        <f>IF(H242&gt;0,IF(H242&gt;$E$244,H242,$E$244),0)</f>
        <v>0</v>
      </c>
    </row>
    <row r="245" spans="5:8" ht="12.75">
      <c r="E245" s="2"/>
      <c r="F245" s="2"/>
      <c r="H245" s="2"/>
    </row>
    <row r="246" spans="2:8" ht="12.75">
      <c r="B246" t="s">
        <v>23</v>
      </c>
      <c r="E246" s="2"/>
      <c r="F246" s="2"/>
      <c r="G246" s="12">
        <f>IF(G244*$D$2&gt;0,(IF(G244*$D$2&lt;$C$8,$C$8,G244*$D$2)),0)</f>
        <v>15000</v>
      </c>
      <c r="H246" s="12">
        <f>IF(H244*$D$2&gt;0,(IF(H244*$D$2&lt;$C$8,$C$8,H244*$D$2)),0)</f>
        <v>0</v>
      </c>
    </row>
    <row r="247" spans="5:8" ht="12.75">
      <c r="E247" s="2"/>
      <c r="F247" s="2"/>
      <c r="G247" s="2"/>
      <c r="H247" s="2"/>
    </row>
    <row r="248" ht="12.75">
      <c r="C248" s="1"/>
    </row>
    <row r="249" spans="1:2" ht="12.75">
      <c r="A249">
        <v>10</v>
      </c>
      <c r="B249" s="3" t="s">
        <v>37</v>
      </c>
    </row>
    <row r="250" ht="12.75">
      <c r="C250" s="1"/>
    </row>
    <row r="251" spans="2:3" ht="12.75">
      <c r="B251" t="s">
        <v>17</v>
      </c>
      <c r="C251" s="4">
        <f>+'Datos Resultado '!E95</f>
        <v>2000000</v>
      </c>
    </row>
    <row r="252" ht="12.75">
      <c r="C252" s="1"/>
    </row>
    <row r="253" spans="2:7" ht="12.75">
      <c r="B253" t="s">
        <v>42</v>
      </c>
      <c r="G253">
        <v>0.05</v>
      </c>
    </row>
    <row r="255" ht="12.75">
      <c r="G255" t="s">
        <v>9</v>
      </c>
    </row>
    <row r="256" spans="7:8" ht="12.75">
      <c r="G256" t="s">
        <v>10</v>
      </c>
      <c r="H256" t="s">
        <v>11</v>
      </c>
    </row>
    <row r="257" spans="2:8" ht="12.75">
      <c r="B257" t="s">
        <v>3</v>
      </c>
      <c r="D257" s="15">
        <f>+$C$4*1000000</f>
        <v>30938000</v>
      </c>
      <c r="E257" s="15">
        <f>+IF(C251&gt;D257,D257,C251)</f>
        <v>2000000</v>
      </c>
      <c r="G257">
        <v>0.13</v>
      </c>
      <c r="H257">
        <v>0.1</v>
      </c>
    </row>
    <row r="258" spans="4:5" ht="12.75">
      <c r="D258" s="15"/>
      <c r="E258" s="15"/>
    </row>
    <row r="259" spans="2:8" ht="12.75">
      <c r="B259" t="s">
        <v>4</v>
      </c>
      <c r="D259" s="15">
        <f>+$C$4*1000000</f>
        <v>30938000</v>
      </c>
      <c r="E259" s="15">
        <f>+IF(C251&lt;D260,IF(C251&gt;D259,C251-D259,0),D260-D259)</f>
        <v>0</v>
      </c>
      <c r="G259">
        <v>0.12</v>
      </c>
      <c r="H259">
        <v>0.09</v>
      </c>
    </row>
    <row r="260" spans="2:5" ht="12.75">
      <c r="B260" t="s">
        <v>5</v>
      </c>
      <c r="D260" s="15">
        <f>+$C$4*10000000</f>
        <v>309380000</v>
      </c>
      <c r="E260" s="15"/>
    </row>
    <row r="261" spans="4:5" ht="12.75">
      <c r="D261" s="15"/>
      <c r="E261" s="15"/>
    </row>
    <row r="262" spans="2:8" ht="12.75">
      <c r="B262" t="s">
        <v>6</v>
      </c>
      <c r="D262" s="15">
        <f>+$C$4*10000000</f>
        <v>309380000</v>
      </c>
      <c r="E262" s="15">
        <f>+IF(C251&lt;D263,IF(C251&gt;D262,C251-D262,0),D263-D262)</f>
        <v>0</v>
      </c>
      <c r="G262">
        <v>0.11</v>
      </c>
      <c r="H262">
        <v>0.08</v>
      </c>
    </row>
    <row r="263" spans="2:5" ht="12.75">
      <c r="B263" t="s">
        <v>7</v>
      </c>
      <c r="D263" s="15">
        <f>+$C$4*100000000</f>
        <v>3093800000</v>
      </c>
      <c r="E263" s="15"/>
    </row>
    <row r="265" spans="2:8" ht="12.75">
      <c r="B265" t="s">
        <v>8</v>
      </c>
      <c r="D265" s="15">
        <f>+$C$4*100000000</f>
        <v>3093800000</v>
      </c>
      <c r="E265" s="15">
        <f>+IF(C251&gt;D265,C251-D265,0)</f>
        <v>0</v>
      </c>
      <c r="G265">
        <v>0.1</v>
      </c>
      <c r="H265">
        <v>0.07</v>
      </c>
    </row>
    <row r="266" spans="4:5" ht="12.75">
      <c r="D266" s="15"/>
      <c r="E266" s="15"/>
    </row>
    <row r="267" spans="4:5" ht="12.75">
      <c r="D267" s="15"/>
      <c r="E267" s="2">
        <f>SUM(E257:E265)</f>
        <v>2000000</v>
      </c>
    </row>
    <row r="269" spans="2:8" ht="12.75">
      <c r="B269" s="13"/>
      <c r="C269" s="13"/>
      <c r="D269" s="13"/>
      <c r="E269" s="14"/>
      <c r="F269" s="14"/>
      <c r="G269" s="17">
        <f>IF('Datos Resultado '!E96=4,+$G253*(G$257*$E$257+G$259*$E$259+G$262*$E$262+G$265*$E$265),0)</f>
        <v>0</v>
      </c>
      <c r="H269" s="17">
        <f>IF('Datos Resultado '!E96=5,+$G253*(H$257*$E$257+H$259*$E$259+H$262*$E$262+H$265*$E$265),0)</f>
        <v>10000</v>
      </c>
    </row>
    <row r="270" spans="2:8" ht="12.75">
      <c r="B270" s="13"/>
      <c r="E270" s="2"/>
      <c r="F270" s="2"/>
      <c r="H270" s="2"/>
    </row>
    <row r="271" spans="2:8" ht="12.75">
      <c r="B271" s="13" t="s">
        <v>15</v>
      </c>
      <c r="E271" s="2">
        <v>0</v>
      </c>
      <c r="F271" s="2"/>
      <c r="G271" s="10">
        <f>IF(G269&gt;0,IF(G269&gt;$E$271,G269,$E$271),0)</f>
        <v>0</v>
      </c>
      <c r="H271" s="10">
        <f>IF(H269&gt;0,IF(H269&gt;$E$271,H269,$E$271),0)</f>
        <v>10000</v>
      </c>
    </row>
    <row r="272" spans="5:8" ht="12.75">
      <c r="E272" s="2"/>
      <c r="F272" s="2"/>
      <c r="H272" s="2"/>
    </row>
    <row r="273" spans="2:8" ht="12.75">
      <c r="B273" t="s">
        <v>23</v>
      </c>
      <c r="E273" s="2"/>
      <c r="F273" s="2"/>
      <c r="G273" s="12">
        <f>IF(G271*$D$2&gt;0,(IF(G271*$D$2&lt;$C$8,$C$8,G271*$D$2)),0)</f>
        <v>0</v>
      </c>
      <c r="H273" s="12">
        <f>IF(H271*$D$2&gt;0,(IF(H271*$D$2&lt;$C$8,$C$8,H271*$D$2)),0)</f>
        <v>15000</v>
      </c>
    </row>
    <row r="274" spans="5:8" ht="12.75">
      <c r="E274" s="2"/>
      <c r="F274" s="2"/>
      <c r="G274" s="2"/>
      <c r="H274" s="2"/>
    </row>
    <row r="275" spans="1:2" ht="12.75">
      <c r="A275">
        <v>11</v>
      </c>
      <c r="B275" s="3" t="s">
        <v>38</v>
      </c>
    </row>
    <row r="276" ht="12.75">
      <c r="C276" s="1"/>
    </row>
    <row r="277" spans="2:3" ht="12.75">
      <c r="B277" t="s">
        <v>17</v>
      </c>
      <c r="C277" s="4">
        <f>+'Datos Resultado '!E104</f>
        <v>2000000</v>
      </c>
    </row>
    <row r="278" ht="12.75">
      <c r="C278" s="1"/>
    </row>
    <row r="279" spans="2:7" ht="12.75">
      <c r="B279" t="s">
        <v>41</v>
      </c>
      <c r="G279">
        <v>0.25</v>
      </c>
    </row>
    <row r="281" ht="12.75">
      <c r="G281" t="s">
        <v>9</v>
      </c>
    </row>
    <row r="282" spans="7:8" ht="12.75">
      <c r="G282" t="s">
        <v>10</v>
      </c>
      <c r="H282" t="s">
        <v>11</v>
      </c>
    </row>
    <row r="283" spans="2:8" ht="12.75">
      <c r="B283" t="s">
        <v>3</v>
      </c>
      <c r="D283" s="15">
        <f>+$C$4*1000000</f>
        <v>30938000</v>
      </c>
      <c r="E283" s="15">
        <f>+IF(C277&gt;D283,D283,C277)</f>
        <v>2000000</v>
      </c>
      <c r="G283">
        <v>0.13</v>
      </c>
      <c r="H283">
        <v>0.1</v>
      </c>
    </row>
    <row r="284" spans="4:5" ht="12.75">
      <c r="D284" s="15"/>
      <c r="E284" s="15"/>
    </row>
    <row r="285" spans="2:8" ht="12.75">
      <c r="B285" t="s">
        <v>4</v>
      </c>
      <c r="D285" s="15">
        <f>+$C$4*1000000</f>
        <v>30938000</v>
      </c>
      <c r="E285" s="15">
        <f>+IF(C277&lt;D286,IF(C277&gt;D285,C277-D285,0),D286-D285)</f>
        <v>0</v>
      </c>
      <c r="G285">
        <v>0.12</v>
      </c>
      <c r="H285">
        <v>0.09</v>
      </c>
    </row>
    <row r="286" spans="2:5" ht="12.75">
      <c r="B286" t="s">
        <v>5</v>
      </c>
      <c r="D286" s="15">
        <f>+$C$4*10000000</f>
        <v>309380000</v>
      </c>
      <c r="E286" s="15"/>
    </row>
    <row r="287" spans="4:5" ht="12.75">
      <c r="D287" s="15"/>
      <c r="E287" s="15"/>
    </row>
    <row r="288" spans="2:8" ht="12.75">
      <c r="B288" t="s">
        <v>6</v>
      </c>
      <c r="D288" s="15">
        <f>+$C$4*10000000</f>
        <v>309380000</v>
      </c>
      <c r="E288" s="15">
        <f>+IF(C277&lt;D289,IF(C277&gt;D288,C277-D288,0),D289-D288)</f>
        <v>0</v>
      </c>
      <c r="G288">
        <v>0.11</v>
      </c>
      <c r="H288">
        <v>0.08</v>
      </c>
    </row>
    <row r="289" spans="2:5" ht="12.75">
      <c r="B289" t="s">
        <v>7</v>
      </c>
      <c r="D289" s="15">
        <f>+$C$4*100000000</f>
        <v>3093800000</v>
      </c>
      <c r="E289" s="15"/>
    </row>
    <row r="291" spans="2:8" ht="12.75">
      <c r="B291" t="s">
        <v>8</v>
      </c>
      <c r="D291" s="15">
        <f>+$C$4*100000000</f>
        <v>3093800000</v>
      </c>
      <c r="E291" s="15">
        <f>+IF(C277&gt;D291,C277-D291,0)</f>
        <v>0</v>
      </c>
      <c r="G291">
        <v>0.1</v>
      </c>
      <c r="H291">
        <v>0.07</v>
      </c>
    </row>
    <row r="292" spans="4:5" ht="12.75">
      <c r="D292" s="15"/>
      <c r="E292" s="15"/>
    </row>
    <row r="293" spans="4:5" ht="12.75">
      <c r="D293" s="15"/>
      <c r="E293" s="2">
        <f>SUM(E283:E291)</f>
        <v>2000000</v>
      </c>
    </row>
    <row r="295" spans="2:8" ht="12.75">
      <c r="B295" s="13"/>
      <c r="C295" s="13"/>
      <c r="D295" s="13"/>
      <c r="E295" s="14"/>
      <c r="F295" s="14"/>
      <c r="G295" s="17">
        <f>IF('Datos Resultado '!E105=4,+$G279*(G$283*$E$283+G$285*$E$285+G$288*$E$288+G$291*$E$291),0)</f>
        <v>0</v>
      </c>
      <c r="H295" s="17">
        <f>IF('Datos Resultado '!E105=5,+$G279*(H$283*$E$283+H$285*$E$285+H$288*$E$288+H$291*$E$291),0)</f>
        <v>50000</v>
      </c>
    </row>
    <row r="296" spans="2:8" ht="12.75">
      <c r="B296" s="13"/>
      <c r="E296" s="2"/>
      <c r="F296" s="2"/>
      <c r="H296" s="2"/>
    </row>
    <row r="297" spans="2:8" ht="12.75">
      <c r="B297" s="13" t="s">
        <v>15</v>
      </c>
      <c r="E297" s="2">
        <v>0</v>
      </c>
      <c r="F297" s="2"/>
      <c r="G297" s="10">
        <f>IF(G295&gt;0,IF(G295&gt;$E$297,G295,$E$297),0)</f>
        <v>0</v>
      </c>
      <c r="H297" s="10">
        <f>IF(H295&gt;0,IF(H295&gt;$E$297,H295,$E$297),0)</f>
        <v>50000</v>
      </c>
    </row>
    <row r="298" spans="5:8" ht="12.75">
      <c r="E298" s="2"/>
      <c r="F298" s="2"/>
      <c r="H298" s="2"/>
    </row>
    <row r="299" spans="2:8" ht="12.75">
      <c r="B299" t="s">
        <v>23</v>
      </c>
      <c r="E299" s="2"/>
      <c r="F299" s="2"/>
      <c r="G299" s="12">
        <f>IF(G297*$D$2&gt;0,(IF(G297*$D$2&lt;$C$8,$C$8,G297*$D$2)),0)</f>
        <v>0</v>
      </c>
      <c r="H299" s="12">
        <f>IF(H297*$D$2&gt;0,(IF(H297*$D$2&lt;$C$8,$C$8,H297*$D$2)),0)</f>
        <v>15000</v>
      </c>
    </row>
    <row r="300" spans="5:8" ht="12.75">
      <c r="E300" s="2"/>
      <c r="F300" s="2"/>
      <c r="G300" s="2"/>
      <c r="H300" s="2"/>
    </row>
    <row r="301" spans="1:2" ht="12.75">
      <c r="A301">
        <v>12</v>
      </c>
      <c r="B301" s="3" t="s">
        <v>39</v>
      </c>
    </row>
    <row r="302" ht="12.75">
      <c r="C302" s="1"/>
    </row>
    <row r="303" spans="2:3" ht="12.75">
      <c r="B303" t="s">
        <v>17</v>
      </c>
      <c r="C303" s="4">
        <f>+'Datos Resultado '!E113</f>
        <v>2000000</v>
      </c>
    </row>
    <row r="304" ht="12.75">
      <c r="C304" s="1"/>
    </row>
    <row r="305" spans="2:7" ht="12.75">
      <c r="B305" t="s">
        <v>40</v>
      </c>
      <c r="G305">
        <v>1</v>
      </c>
    </row>
    <row r="307" ht="12.75">
      <c r="G307" t="s">
        <v>9</v>
      </c>
    </row>
    <row r="308" spans="7:8" ht="12.75">
      <c r="G308" t="s">
        <v>10</v>
      </c>
      <c r="H308" t="s">
        <v>11</v>
      </c>
    </row>
    <row r="309" spans="2:8" ht="12.75">
      <c r="B309" t="s">
        <v>3</v>
      </c>
      <c r="D309" s="15">
        <f>+$C$4*1000000</f>
        <v>30938000</v>
      </c>
      <c r="E309" s="15">
        <f>+IF(C303&gt;D309,D309,C303)</f>
        <v>2000000</v>
      </c>
      <c r="G309">
        <v>0.13</v>
      </c>
      <c r="H309">
        <v>0.1</v>
      </c>
    </row>
    <row r="310" spans="4:5" ht="12.75">
      <c r="D310" s="15"/>
      <c r="E310" s="15"/>
    </row>
    <row r="311" spans="2:8" ht="12.75">
      <c r="B311" t="s">
        <v>4</v>
      </c>
      <c r="D311" s="15">
        <f>+$C$4*1000000</f>
        <v>30938000</v>
      </c>
      <c r="E311" s="15">
        <f>+IF(C303&lt;D312,IF(C303&gt;D311,C303-D311,0),D312-D311)</f>
        <v>0</v>
      </c>
      <c r="G311">
        <v>0.12</v>
      </c>
      <c r="H311">
        <v>0.09</v>
      </c>
    </row>
    <row r="312" spans="2:5" ht="12.75">
      <c r="B312" t="s">
        <v>5</v>
      </c>
      <c r="D312" s="15">
        <f>+$C$4*10000000</f>
        <v>309380000</v>
      </c>
      <c r="E312" s="15"/>
    </row>
    <row r="313" spans="4:5" ht="12.75">
      <c r="D313" s="15"/>
      <c r="E313" s="15"/>
    </row>
    <row r="314" spans="2:8" ht="12.75">
      <c r="B314" t="s">
        <v>6</v>
      </c>
      <c r="D314" s="15">
        <f>+$C$4*10000000</f>
        <v>309380000</v>
      </c>
      <c r="E314" s="15">
        <f>+IF(C303&lt;D315,IF(C303&gt;D314,C303-D314,0),D315-D314)</f>
        <v>0</v>
      </c>
      <c r="G314">
        <v>0.11</v>
      </c>
      <c r="H314">
        <v>0.08</v>
      </c>
    </row>
    <row r="315" spans="2:5" ht="12.75">
      <c r="B315" t="s">
        <v>7</v>
      </c>
      <c r="D315" s="15">
        <f>+$C$4*100000000</f>
        <v>3093800000</v>
      </c>
      <c r="E315" s="15"/>
    </row>
    <row r="317" spans="2:8" ht="12.75">
      <c r="B317" t="s">
        <v>8</v>
      </c>
      <c r="D317" s="15">
        <f>+$C$4*100000000</f>
        <v>3093800000</v>
      </c>
      <c r="E317" s="15">
        <f>+IF(C303&gt;D317,C303-D317,0)</f>
        <v>0</v>
      </c>
      <c r="G317">
        <v>0.1</v>
      </c>
      <c r="H317">
        <v>0.07</v>
      </c>
    </row>
    <row r="318" spans="4:5" ht="12.75">
      <c r="D318" s="15"/>
      <c r="E318" s="15"/>
    </row>
    <row r="319" spans="4:5" ht="12.75">
      <c r="D319" s="15"/>
      <c r="E319" s="2">
        <f>SUM(E309:E317)</f>
        <v>2000000</v>
      </c>
    </row>
    <row r="321" spans="2:8" ht="12.75">
      <c r="B321" s="13"/>
      <c r="C321" s="13"/>
      <c r="D321" s="13"/>
      <c r="E321" s="14"/>
      <c r="F321" s="14"/>
      <c r="G321" s="17">
        <f>IF('Datos Resultado '!E114=4,+$G305*(G$309*$E$309+G$311*$E$311+G$314*$E$314+G$317*$E$317),0)</f>
        <v>0</v>
      </c>
      <c r="H321" s="17">
        <f>IF('Datos Resultado '!E114=5,+$G305*(H$309*$E$309+H$311*$E$311+H$314*$E$314+H$317*$E$317),0)</f>
        <v>200000</v>
      </c>
    </row>
    <row r="322" spans="2:8" ht="12.75">
      <c r="B322" s="13"/>
      <c r="E322" s="2"/>
      <c r="F322" s="2"/>
      <c r="H322" s="2"/>
    </row>
    <row r="323" spans="2:8" ht="12.75">
      <c r="B323" s="13" t="s">
        <v>15</v>
      </c>
      <c r="E323" s="2">
        <v>0</v>
      </c>
      <c r="F323" s="2"/>
      <c r="G323" s="10">
        <f>IF(G321&gt;0,IF(G321&gt;$E$323,G321,$E$323),0)</f>
        <v>0</v>
      </c>
      <c r="H323" s="10">
        <f>IF(H321&gt;0,IF(H321&gt;$E$323,H321,$E$323),0)</f>
        <v>200000</v>
      </c>
    </row>
    <row r="324" spans="5:8" ht="12.75">
      <c r="E324" s="2"/>
      <c r="F324" s="2"/>
      <c r="H324" s="2"/>
    </row>
    <row r="325" spans="2:8" ht="12.75">
      <c r="B325" t="s">
        <v>23</v>
      </c>
      <c r="E325" s="2"/>
      <c r="F325" s="2"/>
      <c r="G325" s="12">
        <f>IF(G323*$D$2&gt;0,(IF(G323*$D$2&lt;$C$8,$C$8,G323*$D$2)),0)</f>
        <v>0</v>
      </c>
      <c r="H325" s="12">
        <f>IF(H323*$D$2&gt;0,(IF(H323*$D$2&lt;$C$8,$C$8,H323*$D$2)),0)</f>
        <v>15000</v>
      </c>
    </row>
    <row r="326" spans="5:8" ht="12.75">
      <c r="E326" s="2"/>
      <c r="F326" s="2"/>
      <c r="G326" s="2"/>
      <c r="H326" s="2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administracion</cp:lastModifiedBy>
  <dcterms:created xsi:type="dcterms:W3CDTF">2007-05-23T21:49:36Z</dcterms:created>
  <dcterms:modified xsi:type="dcterms:W3CDTF">2023-12-26T17:09:19Z</dcterms:modified>
  <cp:category/>
  <cp:version/>
  <cp:contentType/>
  <cp:contentStatus/>
</cp:coreProperties>
</file>