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HONORARIOS CINQN\2024\"/>
    </mc:Choice>
  </mc:AlternateContent>
  <xr:revisionPtr revIDLastSave="0" documentId="13_ncr:1_{7A001792-2387-43C5-B4B5-FAC5D819AD5D}" xr6:coauthVersionLast="46" xr6:coauthVersionMax="46" xr10:uidLastSave="{00000000-0000-0000-0000-000000000000}"/>
  <bookViews>
    <workbookView xWindow="-108" yWindow="-108" windowWidth="23256" windowHeight="12576" firstSheet="1" activeTab="6" xr2:uid="{00000000-000D-0000-FFFF-FFFF00000000}"/>
  </bookViews>
  <sheets>
    <sheet name="RAIZ" sheetId="5" r:id="rId1"/>
    <sheet name="CAMPOS" sheetId="1" r:id="rId2"/>
    <sheet name="CHACRAS E ISLAS SIN RIEGO" sheetId="6" r:id="rId3"/>
    <sheet name="CHACRAS E ISLAS CON RIEGO " sheetId="8" r:id="rId4"/>
    <sheet name="MENSURAS " sheetId="3" r:id="rId5"/>
    <sheet name="PH" sheetId="9" r:id="rId6"/>
    <sheet name="SERVIDUMBRES" sheetId="4" r:id="rId7"/>
  </sheets>
  <calcPr calcId="191029"/>
</workbook>
</file>

<file path=xl/calcChain.xml><?xml version="1.0" encoding="utf-8"?>
<calcChain xmlns="http://schemas.openxmlformats.org/spreadsheetml/2006/main">
  <c r="B23" i="1" l="1"/>
  <c r="B24" i="1"/>
  <c r="B25" i="1"/>
  <c r="B22" i="1"/>
  <c r="B8" i="4"/>
  <c r="B17" i="9"/>
  <c r="B17" i="3"/>
  <c r="B23" i="8"/>
  <c r="B24" i="8"/>
  <c r="B25" i="8"/>
  <c r="B22" i="8"/>
  <c r="B23" i="6"/>
  <c r="B24" i="6"/>
  <c r="B25" i="6"/>
  <c r="B22" i="6"/>
  <c r="G2" i="9" l="1"/>
  <c r="G27" i="3"/>
  <c r="I30" i="8"/>
  <c r="I11" i="1"/>
  <c r="G2" i="3" l="1"/>
  <c r="I2" i="8" l="1"/>
  <c r="I2" i="6"/>
  <c r="I2" i="1"/>
  <c r="B10" i="4" l="1"/>
  <c r="K4" i="4" s="1"/>
  <c r="J4" i="4" s="1"/>
  <c r="J13" i="4" s="1"/>
  <c r="J14" i="4" s="1"/>
  <c r="B6" i="4" s="1"/>
  <c r="B11" i="4"/>
  <c r="B9" i="4"/>
  <c r="G5" i="9"/>
  <c r="B25" i="9"/>
  <c r="B24" i="9"/>
  <c r="B23" i="9"/>
  <c r="B20" i="9"/>
  <c r="B19" i="9"/>
  <c r="G7" i="9" s="1"/>
  <c r="H7" i="9" s="1"/>
  <c r="B18" i="9"/>
  <c r="G16" i="9"/>
  <c r="G6" i="9" l="1"/>
  <c r="H6" i="9" s="1"/>
  <c r="G4" i="9"/>
  <c r="G3" i="9"/>
  <c r="H3" i="9" s="1"/>
  <c r="G15" i="9"/>
  <c r="G14" i="9" s="1"/>
  <c r="G13" i="9" s="1"/>
  <c r="G12" i="9" s="1"/>
  <c r="G20" i="9" l="1"/>
  <c r="G19" i="9" s="1"/>
  <c r="G11" i="9"/>
  <c r="H11" i="9" s="1"/>
  <c r="I15" i="8" l="1"/>
  <c r="H15" i="8" s="1"/>
  <c r="I20" i="8"/>
  <c r="H20" i="8" s="1"/>
  <c r="H19" i="9"/>
  <c r="I24" i="9" s="1"/>
  <c r="G24" i="9" s="1"/>
  <c r="I16" i="8"/>
  <c r="I17" i="8"/>
  <c r="I21" i="8"/>
  <c r="H21" i="8" s="1"/>
  <c r="I19" i="8"/>
  <c r="H19" i="8" s="1"/>
  <c r="I11" i="8"/>
  <c r="I10" i="8" s="1"/>
  <c r="I9" i="8" s="1"/>
  <c r="I18" i="8"/>
  <c r="H18" i="8" s="1"/>
  <c r="B29" i="8"/>
  <c r="B28" i="8"/>
  <c r="H24" i="9" l="1"/>
  <c r="G23" i="9"/>
  <c r="G22" i="9" s="1"/>
  <c r="G21" i="9" s="1"/>
  <c r="I19" i="6"/>
  <c r="C24" i="6"/>
  <c r="I16" i="6"/>
  <c r="H16" i="6" s="1"/>
  <c r="I21" i="6"/>
  <c r="G27" i="9"/>
  <c r="H27" i="9" s="1"/>
  <c r="G28" i="9"/>
  <c r="H28" i="9" s="1"/>
  <c r="H34" i="9"/>
  <c r="I8" i="8"/>
  <c r="H8" i="8" s="1"/>
  <c r="I5" i="8"/>
  <c r="I4" i="8"/>
  <c r="I3" i="8" s="1"/>
  <c r="H3" i="8" s="1"/>
  <c r="I20" i="6"/>
  <c r="H20" i="6" s="1"/>
  <c r="I22" i="6"/>
  <c r="B28" i="6"/>
  <c r="I18" i="6"/>
  <c r="I17" i="6"/>
  <c r="H17" i="6" s="1"/>
  <c r="H16" i="8"/>
  <c r="H19" i="6"/>
  <c r="I12" i="6"/>
  <c r="I11" i="6" s="1"/>
  <c r="B29" i="6"/>
  <c r="B20" i="3"/>
  <c r="B19" i="3"/>
  <c r="B18" i="3"/>
  <c r="G6" i="3" s="1"/>
  <c r="H6" i="3" s="1"/>
  <c r="B25" i="3"/>
  <c r="B24" i="3"/>
  <c r="B23" i="3"/>
  <c r="G7" i="3" l="1"/>
  <c r="H7" i="3" s="1"/>
  <c r="C19" i="3"/>
  <c r="I8" i="1"/>
  <c r="H8" i="1" s="1"/>
  <c r="H35" i="9"/>
  <c r="B11" i="9" s="1"/>
  <c r="G16" i="3"/>
  <c r="G15" i="3" s="1"/>
  <c r="G14" i="3" s="1"/>
  <c r="G13" i="3" s="1"/>
  <c r="G12" i="3" s="1"/>
  <c r="G11" i="3" s="1"/>
  <c r="I5" i="6"/>
  <c r="I4" i="6" s="1"/>
  <c r="I3" i="6" s="1"/>
  <c r="H3" i="6" s="1"/>
  <c r="H21" i="6"/>
  <c r="H22" i="6"/>
  <c r="I16" i="1"/>
  <c r="H16" i="1" s="1"/>
  <c r="I15" i="1"/>
  <c r="H15" i="1" s="1"/>
  <c r="I17" i="1"/>
  <c r="H17" i="1" s="1"/>
  <c r="H11" i="1"/>
  <c r="I13" i="1"/>
  <c r="H13" i="1" s="1"/>
  <c r="I12" i="1"/>
  <c r="H12" i="1" s="1"/>
  <c r="I14" i="1"/>
  <c r="H14" i="1" s="1"/>
  <c r="I10" i="6"/>
  <c r="I9" i="6" s="1"/>
  <c r="I8" i="6" s="1"/>
  <c r="B28" i="1"/>
  <c r="B29" i="1"/>
  <c r="G5" i="3"/>
  <c r="G4" i="3" s="1"/>
  <c r="G3" i="3" s="1"/>
  <c r="H3" i="3" s="1"/>
  <c r="I19" i="1" l="1"/>
  <c r="H19" i="1" s="1"/>
  <c r="J20" i="1" s="1"/>
  <c r="I25" i="1" s="1"/>
  <c r="I24" i="1" s="1"/>
  <c r="I23" i="1" s="1"/>
  <c r="H11" i="3"/>
  <c r="I6" i="1"/>
  <c r="I5" i="1" s="1"/>
  <c r="H8" i="6"/>
  <c r="I22" i="1" l="1"/>
  <c r="H22" i="1" s="1"/>
  <c r="I4" i="1"/>
  <c r="H4" i="1" l="1"/>
  <c r="H46" i="1" s="1"/>
  <c r="I40" i="1"/>
  <c r="I41" i="1" s="1"/>
  <c r="H27" i="3"/>
  <c r="H18" i="6"/>
  <c r="H47" i="1" l="1"/>
  <c r="B16" i="1" s="1"/>
  <c r="I24" i="6"/>
  <c r="H41" i="6"/>
  <c r="H42" i="6" s="1"/>
  <c r="B16" i="6" l="1"/>
  <c r="H24" i="6"/>
  <c r="J25" i="6" s="1"/>
  <c r="I30" i="6" s="1"/>
  <c r="H17" i="8"/>
  <c r="I23" i="8" s="1"/>
  <c r="I29" i="6" l="1"/>
  <c r="I28" i="6" s="1"/>
  <c r="I27" i="6" s="1"/>
  <c r="H27" i="6" s="1"/>
  <c r="H23" i="8"/>
  <c r="J25" i="8" s="1"/>
  <c r="I29" i="8" l="1"/>
  <c r="I28" i="8" s="1"/>
  <c r="I27" i="8" s="1"/>
  <c r="H27" i="8" s="1"/>
  <c r="H41" i="8" l="1"/>
  <c r="H42" i="8" s="1"/>
  <c r="B16" i="8" l="1"/>
  <c r="G19" i="3" l="1"/>
  <c r="H19" i="3" s="1"/>
  <c r="G24" i="3" s="1"/>
  <c r="G22" i="3"/>
  <c r="G21" i="3"/>
  <c r="G20" i="3"/>
  <c r="H24" i="3" l="1"/>
  <c r="I24" i="3" s="1"/>
  <c r="G28" i="3" s="1"/>
  <c r="H28" i="3" s="1"/>
  <c r="G23" i="3"/>
  <c r="H34" i="3"/>
  <c r="H35" i="3" s="1"/>
  <c r="B1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NECESARIO SANEAR VA 1.
SINO 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</author>
  </authors>
  <commentList>
    <comment ref="B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NECESARIO SANEAR VA 1.
SINO 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</author>
  </authors>
  <commentList>
    <comment ref="B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NECESARIO SANEAR VA 1.
SINO 0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</author>
  </authors>
  <commentList>
    <comment ref="B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NO SE CREAN LOTES VA 1,SI SE CREAN LOTES 0</t>
        </r>
      </text>
    </comment>
    <comment ref="B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IRREGULAR, PERO RECCTO VA 1. SINO CERO
</t>
        </r>
      </text>
    </comment>
    <comment ref="B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IRREGULAR CURVO VA 1. SINO 0
</t>
        </r>
      </text>
    </comment>
    <comment ref="G2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ver en la ley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Renee</author>
  </authors>
  <commentList>
    <comment ref="B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NO SE CREAN LOTES VA 1,SI SE CREAN LOTES 0</t>
        </r>
      </text>
    </comment>
    <comment ref="B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IRREGULAR, PERO RECCTO VA 1. SINO CERO
</t>
        </r>
      </text>
    </comment>
    <comment ref="B10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Renee:</t>
        </r>
        <r>
          <rPr>
            <sz val="9"/>
            <color indexed="81"/>
            <rFont val="Tahoma"/>
            <family val="2"/>
          </rPr>
          <t xml:space="preserve">
SI ES IRREGULAR CURVO VA 1. SINO 0
</t>
        </r>
      </text>
    </comment>
  </commentList>
</comments>
</file>

<file path=xl/sharedStrings.xml><?xml version="1.0" encoding="utf-8"?>
<sst xmlns="http://schemas.openxmlformats.org/spreadsheetml/2006/main" count="390" uniqueCount="172">
  <si>
    <t>CAMPOS</t>
  </si>
  <si>
    <t>SUP (HA)</t>
  </si>
  <si>
    <t>N° PARCELAS</t>
  </si>
  <si>
    <t>TASA</t>
  </si>
  <si>
    <t>MENSURA - PH</t>
  </si>
  <si>
    <t>LOTES - U.F.</t>
  </si>
  <si>
    <t>SERVIDUMBRES</t>
  </si>
  <si>
    <t>LONGITUD (Km)</t>
  </si>
  <si>
    <t>POLÍGONOS</t>
  </si>
  <si>
    <t>K2=</t>
  </si>
  <si>
    <t>SI L&lt;=4</t>
  </si>
  <si>
    <t>SI 4&lt; L&lt;=10</t>
  </si>
  <si>
    <t>SI 10&lt;L&lt;=40</t>
  </si>
  <si>
    <t>HONORARIO</t>
  </si>
  <si>
    <t>VALOR FISCAL</t>
  </si>
  <si>
    <t>a)POR VALOR FISCAL</t>
  </si>
  <si>
    <t>A=1,5%F=</t>
  </si>
  <si>
    <t>DE 1,000,000 A 10,000,000K1</t>
  </si>
  <si>
    <t>A=15000K1+1%F</t>
  </si>
  <si>
    <t>DE MAS DE 10,000,000K1</t>
  </si>
  <si>
    <t>A=105,000K1+0,5%F</t>
  </si>
  <si>
    <t>b)POR MENSURA=</t>
  </si>
  <si>
    <t>500K2*L</t>
  </si>
  <si>
    <t>SI 40&lt;L&lt;=100</t>
  </si>
  <si>
    <t>SI 100&lt;L&lt;=400</t>
  </si>
  <si>
    <t>L&gt;400</t>
  </si>
  <si>
    <t>K1= </t>
  </si>
  <si>
    <t>K3=</t>
  </si>
  <si>
    <t>1,000,000*k1=</t>
  </si>
  <si>
    <t>10,000,000*k1=</t>
  </si>
  <si>
    <t>AÑO</t>
  </si>
  <si>
    <t>PERIMETRO(M)</t>
  </si>
  <si>
    <t>50*K2/M</t>
  </si>
  <si>
    <t>POR EDIFICACION EN EL PERIMETRO</t>
  </si>
  <si>
    <t>LONG. EDIF. SOBRE PERIMETRO(M)</t>
  </si>
  <si>
    <t>MANZANAS(M)</t>
  </si>
  <si>
    <t>SI M&lt;=2</t>
  </si>
  <si>
    <t>SI 2&lt;M&lt;=8</t>
  </si>
  <si>
    <t>800*K2*M</t>
  </si>
  <si>
    <t>SI 9&lt;L&lt;=20</t>
  </si>
  <si>
    <t>SI 21&lt;L&lt;=50</t>
  </si>
  <si>
    <t>Si M&gt;50</t>
  </si>
  <si>
    <t>1600K2+600K2*(M-2)</t>
  </si>
  <si>
    <t>5200K2+500K2*(m-8)</t>
  </si>
  <si>
    <t>11200K2+400K2*(M-20)</t>
  </si>
  <si>
    <t>23200K2+300K2*(M-50)</t>
  </si>
  <si>
    <t>2000K2+450K2*7(L-4)</t>
  </si>
  <si>
    <t>4700K2+350K2*(L-10)</t>
  </si>
  <si>
    <t>15200K2+300K2*(L-40)</t>
  </si>
  <si>
    <t>33200K2+250K2*(L-100)</t>
  </si>
  <si>
    <t>108200K2+200K2*(L-400)</t>
  </si>
  <si>
    <t>VALOR FISCAL(VF)</t>
  </si>
  <si>
    <t>DETERMINACION DE F</t>
  </si>
  <si>
    <t>1,000,000K1</t>
  </si>
  <si>
    <t>10,000,000K1</t>
  </si>
  <si>
    <t>F HASTA 1,000,000K1</t>
  </si>
  <si>
    <t>F VA DE 1,000,000 A 10,000,000K1</t>
  </si>
  <si>
    <t>F ES MAS DE 10,000,000K1</t>
  </si>
  <si>
    <t>F&gt; 1,000,000K1</t>
  </si>
  <si>
    <t>C1 ONDULADA</t>
  </si>
  <si>
    <t>C1 QUEBRADA</t>
  </si>
  <si>
    <t>C1 MONTAÑA</t>
  </si>
  <si>
    <t>C2 SIN OBSTACULOS</t>
  </si>
  <si>
    <t>C2 CON MONTE BAJO</t>
  </si>
  <si>
    <t>C2 CON MONTE ALTO</t>
  </si>
  <si>
    <t>(12000+S)k1*K2*C1*C2</t>
  </si>
  <si>
    <t xml:space="preserve">C1 </t>
  </si>
  <si>
    <t xml:space="preserve">C2 </t>
  </si>
  <si>
    <t>HASTA 1 HA</t>
  </si>
  <si>
    <t>DE 1 A 20HAS</t>
  </si>
  <si>
    <t>2000*K2+250*K2*SUP(HAS)</t>
  </si>
  <si>
    <t>DE 21 A 50 HAS</t>
  </si>
  <si>
    <t>7000*K2+120*K2*SUP(HAS)</t>
  </si>
  <si>
    <t>DE 51 A 100 HAS</t>
  </si>
  <si>
    <t>10600*K2+100*K2*SUP(HAS)</t>
  </si>
  <si>
    <t>DE MAS DE 100 HAS</t>
  </si>
  <si>
    <t>15000*K2+100*K2*SUP(HAS)</t>
  </si>
  <si>
    <t>2500*K2+300*K2*SUP(HAS)</t>
  </si>
  <si>
    <t>MAS DE 50 HAS</t>
  </si>
  <si>
    <t>14500*K2+100*K2*SUP(HAS)</t>
  </si>
  <si>
    <t>270*k2</t>
  </si>
  <si>
    <t>RELEVAMIENTO DE CAMINOS Y VIAS</t>
  </si>
  <si>
    <t>RELEVAMIENTO DE RIOS</t>
  </si>
  <si>
    <t>RELACIONAMIENTO</t>
  </si>
  <si>
    <t>TAREAS ADICIONALES</t>
  </si>
  <si>
    <t>390*K2</t>
  </si>
  <si>
    <t>900*K2</t>
  </si>
  <si>
    <t>1100K2</t>
  </si>
  <si>
    <t>TAREAS ADICONALES</t>
  </si>
  <si>
    <t>b) POR SUPERFICIE</t>
  </si>
  <si>
    <t>b)POR SUPERFICIE</t>
  </si>
  <si>
    <t>d)VERTICES excedentes de 4</t>
  </si>
  <si>
    <t>e)RELEV DE VIAS,CAMINOS, CANALES</t>
  </si>
  <si>
    <t>f)RELEV RIOS,ARROYOS, ETC</t>
  </si>
  <si>
    <t>g)RELACIONAMIENTO</t>
  </si>
  <si>
    <t>c)VERTICES EXCEDENTES DE 4</t>
  </si>
  <si>
    <t>d)RELEV DE VIAS,CAMINOS, CANALES</t>
  </si>
  <si>
    <t>e)RELEV RIOS,ARROYOS, ETC</t>
  </si>
  <si>
    <t>f)RELACIONAMIENTO</t>
  </si>
  <si>
    <t>CAMPO SIN ALAMBRAR</t>
  </si>
  <si>
    <t>PERIMETRO LIBRE DE VEGETACION</t>
  </si>
  <si>
    <t>POR KM</t>
  </si>
  <si>
    <t>COEFICIENTES POR TIPO DE TERRENO</t>
  </si>
  <si>
    <t>PERIMETRO CON MONTE BAJO</t>
  </si>
  <si>
    <t>210*K2</t>
  </si>
  <si>
    <t>PERIMETRO CON MONTE ALTO</t>
  </si>
  <si>
    <t>135*K2</t>
  </si>
  <si>
    <t>g)PERIMETRO LIBRE DE VEGETACION</t>
  </si>
  <si>
    <t>h)PERIMETRO CON MONTE BAJO</t>
  </si>
  <si>
    <t>i)PERIMETRO CON MONTE ALTO</t>
  </si>
  <si>
    <t>j)POR SANEAMIENTO DE LINDEROS</t>
  </si>
  <si>
    <t>SANEAMIENTO DE LINDEROS</t>
  </si>
  <si>
    <t>50% DEL HONORARIO</t>
  </si>
  <si>
    <t>i)PERIMETRO CON MONTE ALTO(KM)</t>
  </si>
  <si>
    <t>h)PERIMETRO CON MONTE BAJO(KM)</t>
  </si>
  <si>
    <t>g)PERIMETRO LIBRE DE VEGETACION(KM)</t>
  </si>
  <si>
    <t>RELACIONAMIENTO(KM)</t>
  </si>
  <si>
    <t>RELEVAMIENTO DE RIOS(KM)</t>
  </si>
  <si>
    <t>RELEVAMIENTO DE CAMINOS Y VIAS(KM)</t>
  </si>
  <si>
    <t>c)VERTICES EXCEDENTES de 4</t>
  </si>
  <si>
    <t>g)PERIMETRO LIBRE DE VEGETACION(HM)</t>
  </si>
  <si>
    <t>270*K2</t>
  </si>
  <si>
    <t>540*K2</t>
  </si>
  <si>
    <t>810*K2</t>
  </si>
  <si>
    <t>POR FRACCIONAMIENTO</t>
  </si>
  <si>
    <t>POR LAS PRIMERAS 5 PARCELAS</t>
  </si>
  <si>
    <t>POR LAS 15 SIGUIENTES</t>
  </si>
  <si>
    <t>POR LAS 30 SIGUIENTES</t>
  </si>
  <si>
    <t>POR LAS RESTANTES</t>
  </si>
  <si>
    <t>10%DEL HONORARIO</t>
  </si>
  <si>
    <t>5% DEL HONORARIO</t>
  </si>
  <si>
    <t>3% DEL HONORARIO</t>
  </si>
  <si>
    <t>2% DELHONORARIO</t>
  </si>
  <si>
    <t xml:space="preserve">    </t>
  </si>
  <si>
    <t>MANZANAS SOLAS</t>
  </si>
  <si>
    <t>SUBDIVISION(ART.29)</t>
  </si>
  <si>
    <t>a) POR NUMERO DE LOTES</t>
  </si>
  <si>
    <t>b) POR MANZANAS (U.C.)</t>
  </si>
  <si>
    <t>SOLO MANZANAS</t>
  </si>
  <si>
    <t>c) UNIDADES IRREGULARES</t>
  </si>
  <si>
    <t>RECTILINEAS IRREGULARES</t>
  </si>
  <si>
    <t>C=1,35</t>
  </si>
  <si>
    <t>UNIDADES CURVAS</t>
  </si>
  <si>
    <t>RECTAS</t>
  </si>
  <si>
    <t>CURVAS</t>
  </si>
  <si>
    <t>C=2</t>
  </si>
  <si>
    <t>A=0,4%F=</t>
  </si>
  <si>
    <t>b)POR MENSURA</t>
  </si>
  <si>
    <t>F=VALOR FISCAL ACTUAL</t>
  </si>
  <si>
    <t>d) NUMERO DE VERTICES</t>
  </si>
  <si>
    <t>2% DEL HONORARIO</t>
  </si>
  <si>
    <t>APORTE=</t>
  </si>
  <si>
    <t>APORTE</t>
  </si>
  <si>
    <t>(APORTE)</t>
  </si>
  <si>
    <t>2000*K2*SUP(HAS)</t>
  </si>
  <si>
    <t>2500*K2*SUP(HAS)</t>
  </si>
  <si>
    <t>CORRIJO 2/2</t>
  </si>
  <si>
    <t>(3000K1+5P)*K2</t>
  </si>
  <si>
    <t>NUMERO DE VERTICES</t>
  </si>
  <si>
    <t>VER CON LA LEY 2/2</t>
  </si>
  <si>
    <t>TRAZABILIDAD</t>
  </si>
  <si>
    <t>FECHA</t>
  </si>
  <si>
    <t>REVISADO</t>
  </si>
  <si>
    <t>VER EN LA LEY SI ES 500 O 50</t>
  </si>
  <si>
    <t>30% DEL HONORARIO</t>
  </si>
  <si>
    <t>VALOR FISCAL ACTUAL</t>
  </si>
  <si>
    <t>50K2/M</t>
  </si>
  <si>
    <t>VER EN LA LEY SI ES 50 O 500</t>
  </si>
  <si>
    <t>AÑO 2017</t>
  </si>
  <si>
    <t>390*K2*L</t>
  </si>
  <si>
    <t>Aporte Mínimo=</t>
  </si>
  <si>
    <t>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</si>
</sst>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$&quot;* #,##0.00_-;\-&quot;$&quot;* #,##0.00_-;_-&quot;$&quot;* &quot;-&quot;??_-;_-@_-"/>
    <numFmt numFmtId="166" formatCode="0.000"/>
    <numFmt numFmtId="167" formatCode="0.0000"/>
  </numFmts>
  <fonts count="13" x14ac:knownFonts="1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4" fontId="1" fillId="2" borderId="1" xfId="1" applyNumberFormat="1" applyFill="1" applyBorder="1" applyProtection="1">
      <protection locked="0" hidden="1"/>
    </xf>
    <xf numFmtId="1" fontId="1" fillId="2" borderId="1" xfId="1" applyNumberFormat="1" applyFill="1" applyBorder="1" applyProtection="1">
      <protection locked="0" hidden="1"/>
    </xf>
    <xf numFmtId="4" fontId="1" fillId="3" borderId="1" xfId="1" applyNumberFormat="1" applyFill="1" applyBorder="1" applyProtection="1">
      <protection hidden="1"/>
    </xf>
    <xf numFmtId="1" fontId="1" fillId="0" borderId="0" xfId="1" applyNumberFormat="1" applyProtection="1">
      <protection hidden="1"/>
    </xf>
    <xf numFmtId="1" fontId="1" fillId="4" borderId="1" xfId="1" applyNumberFormat="1" applyFill="1" applyBorder="1" applyProtection="1">
      <protection locked="0" hidden="1"/>
    </xf>
    <xf numFmtId="4" fontId="3" fillId="5" borderId="1" xfId="1" applyNumberFormat="1" applyFont="1" applyFill="1" applyBorder="1" applyProtection="1">
      <protection hidden="1"/>
    </xf>
    <xf numFmtId="0" fontId="1" fillId="4" borderId="1" xfId="1" applyFill="1" applyBorder="1" applyProtection="1">
      <protection locked="0" hidden="1"/>
    </xf>
    <xf numFmtId="4" fontId="1" fillId="5" borderId="1" xfId="1" applyNumberFormat="1" applyFill="1" applyBorder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2" xfId="1" applyBorder="1" applyProtection="1">
      <protection hidden="1"/>
    </xf>
    <xf numFmtId="0" fontId="0" fillId="0" borderId="3" xfId="0" applyBorder="1" applyAlignment="1">
      <alignment vertical="center" wrapText="1"/>
    </xf>
    <xf numFmtId="165" fontId="1" fillId="0" borderId="0" xfId="2" applyFont="1" applyProtection="1">
      <protection hidden="1"/>
    </xf>
    <xf numFmtId="165" fontId="1" fillId="0" borderId="2" xfId="2" applyFont="1" applyBorder="1" applyProtection="1">
      <protection hidden="1"/>
    </xf>
    <xf numFmtId="0" fontId="1" fillId="7" borderId="0" xfId="1" applyFill="1" applyProtection="1">
      <protection hidden="1"/>
    </xf>
    <xf numFmtId="165" fontId="1" fillId="7" borderId="0" xfId="2" applyFont="1" applyFill="1" applyProtection="1">
      <protection hidden="1"/>
    </xf>
    <xf numFmtId="0" fontId="6" fillId="0" borderId="2" xfId="1" applyFont="1" applyBorder="1" applyProtection="1">
      <protection hidden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165" fontId="1" fillId="0" borderId="0" xfId="1" applyNumberFormat="1" applyProtection="1">
      <protection hidden="1"/>
    </xf>
    <xf numFmtId="165" fontId="1" fillId="0" borderId="2" xfId="1" applyNumberFormat="1" applyBorder="1" applyProtection="1">
      <protection hidden="1"/>
    </xf>
    <xf numFmtId="165" fontId="6" fillId="0" borderId="2" xfId="1" applyNumberFormat="1" applyFont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4" xfId="1" applyBorder="1" applyProtection="1">
      <protection hidden="1"/>
    </xf>
    <xf numFmtId="0" fontId="1" fillId="0" borderId="15" xfId="1" applyBorder="1" applyProtection="1">
      <protection hidden="1"/>
    </xf>
    <xf numFmtId="165" fontId="1" fillId="0" borderId="16" xfId="2" applyFont="1" applyBorder="1" applyProtection="1">
      <protection hidden="1"/>
    </xf>
    <xf numFmtId="0" fontId="1" fillId="0" borderId="17" xfId="1" applyBorder="1" applyProtection="1">
      <protection hidden="1"/>
    </xf>
    <xf numFmtId="0" fontId="1" fillId="0" borderId="18" xfId="1" applyBorder="1" applyProtection="1">
      <protection hidden="1"/>
    </xf>
    <xf numFmtId="0" fontId="1" fillId="0" borderId="19" xfId="1" applyBorder="1" applyProtection="1">
      <protection hidden="1"/>
    </xf>
    <xf numFmtId="4" fontId="1" fillId="2" borderId="20" xfId="1" applyNumberFormat="1" applyFill="1" applyBorder="1" applyAlignment="1" applyProtection="1">
      <alignment horizontal="right"/>
      <protection locked="0" hidden="1"/>
    </xf>
    <xf numFmtId="0" fontId="1" fillId="0" borderId="21" xfId="1" applyBorder="1" applyProtection="1">
      <protection hidden="1"/>
    </xf>
    <xf numFmtId="4" fontId="1" fillId="2" borderId="22" xfId="1" applyNumberFormat="1" applyFill="1" applyBorder="1" applyAlignment="1" applyProtection="1">
      <alignment horizontal="right"/>
      <protection locked="0" hidden="1"/>
    </xf>
    <xf numFmtId="0" fontId="1" fillId="0" borderId="23" xfId="1" applyBorder="1" applyProtection="1">
      <protection hidden="1"/>
    </xf>
    <xf numFmtId="4" fontId="1" fillId="2" borderId="24" xfId="1" applyNumberFormat="1" applyFill="1" applyBorder="1" applyAlignment="1" applyProtection="1">
      <alignment horizontal="right"/>
      <protection locked="0" hidden="1"/>
    </xf>
    <xf numFmtId="9" fontId="1" fillId="0" borderId="2" xfId="1" applyNumberFormat="1" applyBorder="1" applyProtection="1">
      <protection hidden="1"/>
    </xf>
    <xf numFmtId="165" fontId="1" fillId="0" borderId="0" xfId="2" applyFont="1" applyBorder="1" applyProtection="1">
      <protection hidden="1"/>
    </xf>
    <xf numFmtId="0" fontId="6" fillId="0" borderId="0" xfId="1" applyFont="1" applyProtection="1">
      <protection hidden="1"/>
    </xf>
    <xf numFmtId="165" fontId="1" fillId="0" borderId="0" xfId="2" applyFont="1" applyFill="1" applyProtection="1">
      <protection hidden="1"/>
    </xf>
    <xf numFmtId="0" fontId="1" fillId="0" borderId="25" xfId="1" applyBorder="1" applyProtection="1">
      <protection hidden="1"/>
    </xf>
    <xf numFmtId="165" fontId="1" fillId="0" borderId="26" xfId="2" applyFont="1" applyBorder="1" applyProtection="1">
      <protection hidden="1"/>
    </xf>
    <xf numFmtId="9" fontId="1" fillId="0" borderId="27" xfId="1" applyNumberFormat="1" applyBorder="1" applyProtection="1">
      <protection hidden="1"/>
    </xf>
    <xf numFmtId="165" fontId="1" fillId="0" borderId="27" xfId="2" applyFont="1" applyBorder="1" applyProtection="1">
      <protection hidden="1"/>
    </xf>
    <xf numFmtId="0" fontId="1" fillId="7" borderId="28" xfId="1" applyFill="1" applyBorder="1" applyProtection="1">
      <protection hidden="1"/>
    </xf>
    <xf numFmtId="0" fontId="1" fillId="0" borderId="26" xfId="1" applyBorder="1" applyProtection="1">
      <protection hidden="1"/>
    </xf>
    <xf numFmtId="0" fontId="1" fillId="0" borderId="27" xfId="1" applyBorder="1" applyProtection="1">
      <protection hidden="1"/>
    </xf>
    <xf numFmtId="0" fontId="1" fillId="0" borderId="29" xfId="1" applyBorder="1" applyProtection="1">
      <protection hidden="1"/>
    </xf>
    <xf numFmtId="165" fontId="1" fillId="0" borderId="29" xfId="2" applyFont="1" applyBorder="1" applyProtection="1">
      <protection hidden="1"/>
    </xf>
    <xf numFmtId="0" fontId="6" fillId="0" borderId="13" xfId="1" applyFont="1" applyBorder="1" applyProtection="1">
      <protection hidden="1"/>
    </xf>
    <xf numFmtId="0" fontId="1" fillId="7" borderId="17" xfId="1" applyFill="1" applyBorder="1" applyProtection="1">
      <protection hidden="1"/>
    </xf>
    <xf numFmtId="0" fontId="1" fillId="0" borderId="30" xfId="1" applyBorder="1" applyProtection="1">
      <protection hidden="1"/>
    </xf>
    <xf numFmtId="0" fontId="1" fillId="7" borderId="30" xfId="1" applyFill="1" applyBorder="1" applyProtection="1">
      <protection hidden="1"/>
    </xf>
    <xf numFmtId="0" fontId="6" fillId="0" borderId="29" xfId="1" applyFont="1" applyBorder="1" applyProtection="1">
      <protection hidden="1"/>
    </xf>
    <xf numFmtId="0" fontId="6" fillId="0" borderId="30" xfId="1" applyFont="1" applyBorder="1" applyProtection="1">
      <protection hidden="1"/>
    </xf>
    <xf numFmtId="0" fontId="1" fillId="0" borderId="33" xfId="1" applyBorder="1" applyProtection="1">
      <protection hidden="1"/>
    </xf>
    <xf numFmtId="0" fontId="6" fillId="0" borderId="28" xfId="1" applyFont="1" applyBorder="1" applyProtection="1">
      <protection hidden="1"/>
    </xf>
    <xf numFmtId="9" fontId="1" fillId="7" borderId="2" xfId="1" applyNumberFormat="1" applyFill="1" applyBorder="1" applyProtection="1">
      <protection hidden="1"/>
    </xf>
    <xf numFmtId="10" fontId="1" fillId="0" borderId="0" xfId="1" applyNumberFormat="1" applyProtection="1">
      <protection hidden="1"/>
    </xf>
    <xf numFmtId="10" fontId="1" fillId="7" borderId="0" xfId="1" applyNumberFormat="1" applyFill="1" applyProtection="1">
      <protection hidden="1"/>
    </xf>
    <xf numFmtId="0" fontId="0" fillId="0" borderId="0" xfId="0" applyAlignment="1">
      <alignment vertical="center" wrapText="1"/>
    </xf>
    <xf numFmtId="10" fontId="0" fillId="0" borderId="0" xfId="0" applyNumberFormat="1"/>
    <xf numFmtId="165" fontId="1" fillId="4" borderId="1" xfId="2" applyFont="1" applyFill="1" applyBorder="1" applyProtection="1">
      <protection locked="0" hidden="1"/>
    </xf>
    <xf numFmtId="0" fontId="0" fillId="0" borderId="0" xfId="0" applyAlignment="1">
      <alignment horizontal="right" vertical="center" wrapText="1"/>
    </xf>
    <xf numFmtId="165" fontId="1" fillId="7" borderId="2" xfId="1" applyNumberFormat="1" applyFill="1" applyBorder="1" applyProtection="1">
      <protection hidden="1"/>
    </xf>
    <xf numFmtId="14" fontId="0" fillId="0" borderId="0" xfId="0" applyNumberFormat="1"/>
    <xf numFmtId="165" fontId="6" fillId="0" borderId="29" xfId="2" applyFont="1" applyBorder="1" applyAlignment="1" applyProtection="1">
      <protection hidden="1"/>
    </xf>
    <xf numFmtId="165" fontId="1" fillId="0" borderId="32" xfId="2" applyFont="1" applyBorder="1" applyProtection="1">
      <protection hidden="1"/>
    </xf>
    <xf numFmtId="165" fontId="1" fillId="7" borderId="31" xfId="2" applyFont="1" applyFill="1" applyBorder="1" applyProtection="1">
      <protection hidden="1"/>
    </xf>
    <xf numFmtId="165" fontId="1" fillId="0" borderId="35" xfId="2" applyFont="1" applyBorder="1" applyProtection="1">
      <protection hidden="1"/>
    </xf>
    <xf numFmtId="165" fontId="1" fillId="7" borderId="34" xfId="2" applyFont="1" applyFill="1" applyBorder="1" applyProtection="1">
      <protection hidden="1"/>
    </xf>
    <xf numFmtId="165" fontId="0" fillId="8" borderId="0" xfId="2" applyFont="1" applyFill="1"/>
    <xf numFmtId="164" fontId="0" fillId="9" borderId="0" xfId="0" applyNumberFormat="1" applyFill="1"/>
    <xf numFmtId="165" fontId="0" fillId="9" borderId="0" xfId="2" applyFont="1" applyFill="1"/>
    <xf numFmtId="0" fontId="12" fillId="0" borderId="0" xfId="0" applyFont="1"/>
    <xf numFmtId="166" fontId="12" fillId="0" borderId="0" xfId="0" applyNumberFormat="1" applyFont="1"/>
    <xf numFmtId="167" fontId="7" fillId="0" borderId="9" xfId="0" applyNumberFormat="1" applyFont="1" applyBorder="1" applyAlignment="1">
      <alignment horizontal="right" vertical="center" wrapText="1"/>
    </xf>
    <xf numFmtId="167" fontId="7" fillId="0" borderId="5" xfId="0" applyNumberFormat="1" applyFont="1" applyBorder="1" applyAlignment="1">
      <alignment horizontal="right" vertical="center" wrapText="1"/>
    </xf>
    <xf numFmtId="167" fontId="7" fillId="0" borderId="7" xfId="0" applyNumberFormat="1" applyFont="1" applyBorder="1" applyAlignment="1">
      <alignment horizontal="right" vertical="center" wrapText="1"/>
    </xf>
    <xf numFmtId="0" fontId="2" fillId="6" borderId="1" xfId="1" applyFont="1" applyFill="1" applyBorder="1" applyAlignment="1" applyProtection="1">
      <alignment horizontal="center" vertical="center"/>
      <protection hidden="1"/>
    </xf>
    <xf numFmtId="0" fontId="9" fillId="7" borderId="12" xfId="1" applyFont="1" applyFill="1" applyBorder="1" applyAlignment="1" applyProtection="1">
      <alignment horizontal="center"/>
      <protection hidden="1"/>
    </xf>
    <xf numFmtId="0" fontId="8" fillId="7" borderId="12" xfId="1" applyFont="1" applyFill="1" applyBorder="1" applyAlignment="1" applyProtection="1">
      <alignment horizontal="center"/>
      <protection hidden="1"/>
    </xf>
    <xf numFmtId="0" fontId="9" fillId="0" borderId="12" xfId="1" applyFont="1" applyBorder="1" applyAlignment="1" applyProtection="1">
      <alignment horizontal="center"/>
      <protection hidden="1"/>
    </xf>
    <xf numFmtId="0" fontId="4" fillId="6" borderId="1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1" fillId="6" borderId="1" xfId="1" applyFill="1" applyBorder="1" applyAlignment="1" applyProtection="1">
      <alignment horizontal="center" vertical="center"/>
      <protection hidden="1"/>
    </xf>
  </cellXfs>
  <cellStyles count="3">
    <cellStyle name="Excel Built-in Normal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workbookViewId="0">
      <selection activeCell="F5" sqref="F5"/>
    </sheetView>
  </sheetViews>
  <sheetFormatPr baseColWidth="10" defaultRowHeight="13.2" x14ac:dyDescent="0.25"/>
  <sheetData>
    <row r="2" spans="2:8" ht="14.4" x14ac:dyDescent="0.3">
      <c r="B2" s="13" t="s">
        <v>30</v>
      </c>
      <c r="C2" s="77">
        <v>2024</v>
      </c>
      <c r="F2" t="s">
        <v>160</v>
      </c>
    </row>
    <row r="3" spans="2:8" ht="14.4" x14ac:dyDescent="0.3">
      <c r="B3" s="13" t="s">
        <v>26</v>
      </c>
      <c r="C3" s="78">
        <v>30.937999999999999</v>
      </c>
    </row>
    <row r="4" spans="2:8" ht="14.4" x14ac:dyDescent="0.3">
      <c r="B4" s="13" t="s">
        <v>9</v>
      </c>
      <c r="C4" s="78">
        <v>61.331000000000003</v>
      </c>
      <c r="F4" t="s">
        <v>161</v>
      </c>
    </row>
    <row r="5" spans="2:8" ht="14.4" x14ac:dyDescent="0.3">
      <c r="B5" s="13" t="s">
        <v>27</v>
      </c>
      <c r="C5" s="78">
        <v>369.07600000000002</v>
      </c>
      <c r="F5" s="68">
        <v>45112</v>
      </c>
      <c r="G5" t="s">
        <v>171</v>
      </c>
      <c r="H5" t="s">
        <v>162</v>
      </c>
    </row>
    <row r="7" spans="2:8" x14ac:dyDescent="0.25">
      <c r="B7" s="63" t="s">
        <v>151</v>
      </c>
      <c r="C7" s="64">
        <v>0.02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opLeftCell="A31" workbookViewId="0">
      <selection activeCell="B48" sqref="B48"/>
    </sheetView>
  </sheetViews>
  <sheetFormatPr baseColWidth="10" defaultColWidth="11.5546875" defaultRowHeight="14.4" x14ac:dyDescent="0.3"/>
  <cols>
    <col min="1" max="1" width="37.33203125" style="1" customWidth="1"/>
    <col min="2" max="2" width="16.6640625" style="1" customWidth="1"/>
    <col min="3" max="5" width="11.5546875" style="1"/>
    <col min="6" max="6" width="34.44140625" style="1" customWidth="1"/>
    <col min="7" max="7" width="23.88671875" style="1" customWidth="1"/>
    <col min="8" max="8" width="15" style="1" customWidth="1"/>
    <col min="9" max="9" width="17.44140625" style="1" customWidth="1"/>
    <col min="10" max="10" width="18.5546875" style="1" customWidth="1"/>
    <col min="11" max="12" width="11.5546875" style="1" customWidth="1"/>
    <col min="13" max="16384" width="11.5546875" style="1"/>
  </cols>
  <sheetData>
    <row r="1" spans="1:10" ht="18.600000000000001" thickBot="1" x14ac:dyDescent="0.4">
      <c r="A1" s="82" t="s">
        <v>0</v>
      </c>
      <c r="B1" s="82"/>
      <c r="F1" s="83" t="s">
        <v>13</v>
      </c>
      <c r="G1" s="83"/>
      <c r="H1" s="83"/>
      <c r="I1" s="83"/>
    </row>
    <row r="2" spans="1:10" ht="15" thickBot="1" x14ac:dyDescent="0.35">
      <c r="A2" s="82"/>
      <c r="B2" s="82"/>
      <c r="F2" s="18" t="s">
        <v>15</v>
      </c>
      <c r="G2" s="12" t="s">
        <v>148</v>
      </c>
      <c r="H2" s="12"/>
      <c r="I2" s="15">
        <f>+B3</f>
        <v>0</v>
      </c>
    </row>
    <row r="3" spans="1:10" ht="15" thickBot="1" x14ac:dyDescent="0.35">
      <c r="A3" s="2" t="s">
        <v>51</v>
      </c>
      <c r="B3" s="3"/>
      <c r="F3" s="12"/>
      <c r="G3" s="12"/>
      <c r="H3" s="12"/>
      <c r="I3" s="15"/>
    </row>
    <row r="4" spans="1:10" ht="15" thickBot="1" x14ac:dyDescent="0.35">
      <c r="A4" s="2" t="s">
        <v>1</v>
      </c>
      <c r="B4" s="3"/>
      <c r="F4" s="12" t="s">
        <v>55</v>
      </c>
      <c r="G4" s="12" t="s">
        <v>16</v>
      </c>
      <c r="H4" s="25">
        <f>+I4</f>
        <v>0</v>
      </c>
      <c r="I4" s="15">
        <f>IF(I2&lt;=B28,1.5%*I2,I5)</f>
        <v>0</v>
      </c>
      <c r="J4" s="24"/>
    </row>
    <row r="5" spans="1:10" ht="15" thickBot="1" x14ac:dyDescent="0.35">
      <c r="A5" s="2" t="s">
        <v>66</v>
      </c>
      <c r="B5" s="3"/>
      <c r="F5" s="12" t="s">
        <v>56</v>
      </c>
      <c r="G5" s="12" t="s">
        <v>18</v>
      </c>
      <c r="H5" s="12"/>
      <c r="I5" s="15">
        <f>IF(I2&lt;B29,1%*I2+B23*15000,I6)</f>
        <v>464070</v>
      </c>
    </row>
    <row r="6" spans="1:10" ht="15" thickBot="1" x14ac:dyDescent="0.35">
      <c r="A6" s="2" t="s">
        <v>67</v>
      </c>
      <c r="B6" s="3"/>
      <c r="F6" s="12" t="s">
        <v>57</v>
      </c>
      <c r="G6" s="12" t="s">
        <v>20</v>
      </c>
      <c r="H6" s="12"/>
      <c r="I6" s="15">
        <f>IF(I2&gt;B29,0.5%*I2+B23*105000,I7)</f>
        <v>0</v>
      </c>
    </row>
    <row r="7" spans="1:10" ht="15" thickBot="1" x14ac:dyDescent="0.35">
      <c r="A7" s="2" t="s">
        <v>158</v>
      </c>
      <c r="B7" s="3"/>
      <c r="F7" s="12"/>
      <c r="G7" s="12"/>
      <c r="H7" s="12"/>
      <c r="I7" s="15"/>
    </row>
    <row r="8" spans="1:10" ht="15" thickBot="1" x14ac:dyDescent="0.35">
      <c r="A8" s="2" t="s">
        <v>2</v>
      </c>
      <c r="B8" s="4"/>
      <c r="F8" s="18" t="s">
        <v>147</v>
      </c>
      <c r="G8" s="12" t="s">
        <v>65</v>
      </c>
      <c r="H8" s="25">
        <f>+I8</f>
        <v>0</v>
      </c>
      <c r="I8" s="15">
        <f>+(12000+B4)*B23*B24*B5*B6</f>
        <v>0</v>
      </c>
    </row>
    <row r="9" spans="1:10" ht="15" thickBot="1" x14ac:dyDescent="0.35">
      <c r="A9" s="2" t="s">
        <v>118</v>
      </c>
      <c r="B9" s="4"/>
      <c r="F9" s="18"/>
      <c r="G9" s="12"/>
      <c r="H9" s="25"/>
      <c r="I9" s="15"/>
    </row>
    <row r="10" spans="1:10" ht="15" thickBot="1" x14ac:dyDescent="0.35">
      <c r="A10" s="2" t="s">
        <v>117</v>
      </c>
      <c r="B10" s="4"/>
      <c r="F10" s="18" t="s">
        <v>84</v>
      </c>
      <c r="G10" s="12"/>
      <c r="H10" s="12"/>
      <c r="I10" s="12"/>
    </row>
    <row r="11" spans="1:10" ht="15" thickBot="1" x14ac:dyDescent="0.35">
      <c r="A11" s="2" t="s">
        <v>116</v>
      </c>
      <c r="B11" s="4"/>
      <c r="F11" s="12" t="s">
        <v>95</v>
      </c>
      <c r="G11" s="12" t="s">
        <v>80</v>
      </c>
      <c r="H11" s="67">
        <f t="shared" ref="H11:H17" si="0">+I11</f>
        <v>0</v>
      </c>
      <c r="I11" s="15">
        <f>IF(B7&gt;4,270*B24*(B7-4),0)</f>
        <v>0</v>
      </c>
    </row>
    <row r="12" spans="1:10" ht="15" thickBot="1" x14ac:dyDescent="0.35">
      <c r="A12" s="2" t="s">
        <v>115</v>
      </c>
      <c r="B12" s="4"/>
      <c r="F12" s="12" t="s">
        <v>96</v>
      </c>
      <c r="G12" s="12" t="s">
        <v>85</v>
      </c>
      <c r="H12" s="26">
        <f t="shared" si="0"/>
        <v>0</v>
      </c>
      <c r="I12" s="15">
        <f>390*B24*B9</f>
        <v>0</v>
      </c>
    </row>
    <row r="13" spans="1:10" ht="15" thickBot="1" x14ac:dyDescent="0.35">
      <c r="A13" s="2" t="s">
        <v>114</v>
      </c>
      <c r="B13" s="4"/>
      <c r="F13" s="12" t="s">
        <v>97</v>
      </c>
      <c r="G13" s="12" t="s">
        <v>86</v>
      </c>
      <c r="H13" s="24">
        <f t="shared" si="0"/>
        <v>0</v>
      </c>
      <c r="I13" s="15">
        <f>900*B10*B24</f>
        <v>0</v>
      </c>
    </row>
    <row r="14" spans="1:10" ht="15" thickBot="1" x14ac:dyDescent="0.35">
      <c r="A14" s="2" t="s">
        <v>113</v>
      </c>
      <c r="B14" s="4"/>
      <c r="F14" s="12" t="s">
        <v>98</v>
      </c>
      <c r="G14" s="12" t="s">
        <v>87</v>
      </c>
      <c r="H14" s="15">
        <f t="shared" si="0"/>
        <v>0</v>
      </c>
      <c r="I14" s="15">
        <f>1100*B24*B11</f>
        <v>0</v>
      </c>
    </row>
    <row r="15" spans="1:10" ht="15" thickBot="1" x14ac:dyDescent="0.35">
      <c r="A15" s="2" t="s">
        <v>110</v>
      </c>
      <c r="B15" s="4"/>
      <c r="F15" s="12" t="s">
        <v>107</v>
      </c>
      <c r="G15" s="12" t="s">
        <v>106</v>
      </c>
      <c r="H15" s="15">
        <f t="shared" si="0"/>
        <v>0</v>
      </c>
      <c r="I15" s="15">
        <f>IF(B12&gt;0,B12*$B$24*135,0)</f>
        <v>0</v>
      </c>
    </row>
    <row r="16" spans="1:10" ht="15" thickBot="1" x14ac:dyDescent="0.35">
      <c r="A16" s="2" t="s">
        <v>152</v>
      </c>
      <c r="B16" s="5">
        <f>+H47</f>
        <v>0</v>
      </c>
      <c r="C16" s="62">
        <v>0.02</v>
      </c>
      <c r="D16" s="1" t="s">
        <v>153</v>
      </c>
      <c r="F16" s="12" t="s">
        <v>108</v>
      </c>
      <c r="G16" s="12" t="s">
        <v>104</v>
      </c>
      <c r="H16" s="15">
        <f t="shared" si="0"/>
        <v>0</v>
      </c>
      <c r="I16" s="15">
        <f>IF(B13&gt;0,B13*$B$24*210,0)</f>
        <v>0</v>
      </c>
    </row>
    <row r="17" spans="1:10" x14ac:dyDescent="0.3">
      <c r="F17" s="12" t="s">
        <v>109</v>
      </c>
      <c r="G17" s="12" t="s">
        <v>85</v>
      </c>
      <c r="H17" s="15">
        <f t="shared" si="0"/>
        <v>0</v>
      </c>
      <c r="I17" s="15">
        <f>IF(B14&gt;0,B14*$B$24*390,0)</f>
        <v>0</v>
      </c>
    </row>
    <row r="18" spans="1:10" x14ac:dyDescent="0.3">
      <c r="F18" s="12"/>
      <c r="G18" s="12"/>
      <c r="H18" s="15"/>
      <c r="I18" s="15"/>
    </row>
    <row r="19" spans="1:10" x14ac:dyDescent="0.3">
      <c r="F19" s="18" t="s">
        <v>111</v>
      </c>
      <c r="G19" s="12" t="s">
        <v>112</v>
      </c>
      <c r="H19" s="15">
        <f>+I19</f>
        <v>0</v>
      </c>
      <c r="I19" s="15">
        <f>+IF(B15&gt;0,(+H8+H11+H12+H14+H15+H16+H17)*50%,0)</f>
        <v>0</v>
      </c>
    </row>
    <row r="20" spans="1:10" x14ac:dyDescent="0.3">
      <c r="F20" s="18"/>
      <c r="G20" s="12"/>
      <c r="H20" s="15"/>
      <c r="I20" s="15"/>
      <c r="J20" s="24">
        <f>+H8+H11+H12+H13+H14+H15+H16+H17+H19</f>
        <v>0</v>
      </c>
    </row>
    <row r="21" spans="1:10" ht="15" thickBot="1" x14ac:dyDescent="0.35">
      <c r="F21" s="18" t="s">
        <v>124</v>
      </c>
      <c r="G21" s="12"/>
      <c r="H21" s="15"/>
      <c r="I21" s="15"/>
    </row>
    <row r="22" spans="1:10" ht="15" thickBot="1" x14ac:dyDescent="0.35">
      <c r="A22" s="22" t="s">
        <v>30</v>
      </c>
      <c r="B22" s="23">
        <f>RAIZ!C2</f>
        <v>2024</v>
      </c>
      <c r="F22" s="12" t="s">
        <v>125</v>
      </c>
      <c r="G22" s="60" t="s">
        <v>129</v>
      </c>
      <c r="H22" s="15">
        <f>+I22</f>
        <v>0</v>
      </c>
      <c r="I22" s="15">
        <f>IF($B$8&lt;=5,(+H8+H10+H11+H12+H13+H14+H15+H16+H17+H18+H19)*10%*$B$8,I23)</f>
        <v>0</v>
      </c>
    </row>
    <row r="23" spans="1:10" ht="15" thickBot="1" x14ac:dyDescent="0.35">
      <c r="A23" s="21" t="s">
        <v>26</v>
      </c>
      <c r="B23" s="23">
        <f>RAIZ!C3</f>
        <v>30.937999999999999</v>
      </c>
      <c r="F23" s="12" t="s">
        <v>126</v>
      </c>
      <c r="G23" s="39" t="s">
        <v>130</v>
      </c>
      <c r="H23" s="15"/>
      <c r="I23" s="15">
        <f>IF($B$8&lt;=20,$J$20*5%*(B8-5)+$J$20*10%*5,I24)</f>
        <v>0</v>
      </c>
    </row>
    <row r="24" spans="1:10" ht="15" thickBot="1" x14ac:dyDescent="0.35">
      <c r="A24" s="19" t="s">
        <v>9</v>
      </c>
      <c r="B24" s="23">
        <f>RAIZ!C4</f>
        <v>61.331000000000003</v>
      </c>
      <c r="F24" s="12" t="s">
        <v>127</v>
      </c>
      <c r="G24" s="39" t="s">
        <v>131</v>
      </c>
      <c r="H24" s="15"/>
      <c r="I24" s="15">
        <f>IF($B$8&lt;=60,$J$20*3%*(B8-20)+$J$20*10%*5+$J$20*5%*15,I25)</f>
        <v>0</v>
      </c>
    </row>
    <row r="25" spans="1:10" ht="15" thickBot="1" x14ac:dyDescent="0.35">
      <c r="A25" s="20" t="s">
        <v>27</v>
      </c>
      <c r="B25" s="23">
        <f>RAIZ!C5</f>
        <v>369.07600000000002</v>
      </c>
      <c r="F25" s="12" t="s">
        <v>128</v>
      </c>
      <c r="G25" s="39" t="s">
        <v>132</v>
      </c>
      <c r="H25" s="15"/>
      <c r="I25" s="15">
        <f>IF($B$8&gt;60,$J$20*2%*($B$8-60)+$J$20*10%*5+$J$20*5%*15+$J$20*30*3%,I26)</f>
        <v>0</v>
      </c>
    </row>
    <row r="26" spans="1:10" ht="15" thickBot="1" x14ac:dyDescent="0.35">
      <c r="F26" s="18"/>
      <c r="G26" s="12"/>
      <c r="H26" s="15"/>
      <c r="I26" s="15"/>
    </row>
    <row r="27" spans="1:10" x14ac:dyDescent="0.3">
      <c r="A27" s="27" t="s">
        <v>52</v>
      </c>
      <c r="B27" s="28"/>
      <c r="F27" s="18"/>
      <c r="G27" s="49"/>
      <c r="H27" s="46"/>
      <c r="I27" s="15"/>
    </row>
    <row r="28" spans="1:10" x14ac:dyDescent="0.3">
      <c r="A28" s="29" t="s">
        <v>53</v>
      </c>
      <c r="B28" s="30">
        <f>+B23*1000000</f>
        <v>30938000</v>
      </c>
      <c r="F28" s="43"/>
      <c r="I28" s="44"/>
    </row>
    <row r="29" spans="1:10" x14ac:dyDescent="0.3">
      <c r="A29" s="29" t="s">
        <v>54</v>
      </c>
      <c r="B29" s="30">
        <f>+B23*10000000</f>
        <v>309380000</v>
      </c>
      <c r="F29" s="43"/>
      <c r="I29" s="48"/>
    </row>
    <row r="30" spans="1:10" ht="15" thickBot="1" x14ac:dyDescent="0.35">
      <c r="A30" s="31"/>
      <c r="B30" s="32"/>
      <c r="F30" s="12"/>
      <c r="G30" s="50"/>
      <c r="H30" s="51"/>
      <c r="I30" s="15"/>
    </row>
    <row r="31" spans="1:10" x14ac:dyDescent="0.3">
      <c r="F31" s="12"/>
      <c r="G31" s="12"/>
      <c r="H31" s="15"/>
      <c r="I31" s="15"/>
    </row>
    <row r="32" spans="1:10" x14ac:dyDescent="0.3">
      <c r="A32" s="1" t="s">
        <v>102</v>
      </c>
      <c r="F32" s="12"/>
      <c r="G32" s="12"/>
      <c r="H32" s="15"/>
      <c r="I32" s="15"/>
    </row>
    <row r="33" spans="1:9" ht="15" thickBot="1" x14ac:dyDescent="0.35">
      <c r="F33" s="18"/>
      <c r="G33" s="12"/>
      <c r="H33" s="12"/>
      <c r="I33" s="15"/>
    </row>
    <row r="34" spans="1:9" ht="15" thickBot="1" x14ac:dyDescent="0.35">
      <c r="A34" s="2" t="s">
        <v>59</v>
      </c>
      <c r="B34" s="3">
        <v>1</v>
      </c>
      <c r="F34" s="12"/>
      <c r="G34" s="12"/>
      <c r="H34" s="12"/>
      <c r="I34" s="15"/>
    </row>
    <row r="35" spans="1:9" ht="15" thickBot="1" x14ac:dyDescent="0.35">
      <c r="A35" s="2" t="s">
        <v>60</v>
      </c>
      <c r="B35" s="3">
        <v>1.5</v>
      </c>
      <c r="F35" s="12"/>
      <c r="G35" s="12"/>
      <c r="H35" s="12"/>
      <c r="I35" s="15"/>
    </row>
    <row r="36" spans="1:9" ht="15" thickBot="1" x14ac:dyDescent="0.35">
      <c r="A36" s="2" t="s">
        <v>61</v>
      </c>
      <c r="B36" s="3">
        <v>2.5</v>
      </c>
      <c r="F36" s="12"/>
      <c r="G36" s="12"/>
      <c r="H36" s="12"/>
      <c r="I36" s="15"/>
    </row>
    <row r="37" spans="1:9" ht="15" thickBot="1" x14ac:dyDescent="0.35">
      <c r="A37" s="2" t="s">
        <v>62</v>
      </c>
      <c r="B37" s="3">
        <v>1</v>
      </c>
      <c r="F37" s="12"/>
      <c r="G37" s="12"/>
      <c r="H37" s="12"/>
      <c r="I37" s="15"/>
    </row>
    <row r="38" spans="1:9" ht="15" thickBot="1" x14ac:dyDescent="0.35">
      <c r="A38" s="2" t="s">
        <v>63</v>
      </c>
      <c r="B38" s="3">
        <v>1.2</v>
      </c>
      <c r="F38" s="12"/>
      <c r="G38" s="12"/>
      <c r="H38" s="12"/>
      <c r="I38" s="15"/>
    </row>
    <row r="39" spans="1:9" ht="15" thickBot="1" x14ac:dyDescent="0.35">
      <c r="A39" s="2" t="s">
        <v>64</v>
      </c>
      <c r="B39" s="3">
        <v>1.5</v>
      </c>
      <c r="F39" s="12"/>
      <c r="G39" s="12"/>
      <c r="H39" s="12"/>
      <c r="I39" s="15"/>
    </row>
    <row r="40" spans="1:9" ht="15" thickBot="1" x14ac:dyDescent="0.35">
      <c r="G40" s="1" t="s">
        <v>13</v>
      </c>
      <c r="I40" s="14">
        <f>SUM(I4:I32)</f>
        <v>464070</v>
      </c>
    </row>
    <row r="41" spans="1:9" x14ac:dyDescent="0.3">
      <c r="A41" s="27" t="s">
        <v>99</v>
      </c>
      <c r="B41" s="28" t="s">
        <v>101</v>
      </c>
      <c r="G41" s="16" t="s">
        <v>152</v>
      </c>
      <c r="H41" s="16"/>
      <c r="I41" s="17">
        <f>+I40*5%</f>
        <v>23203.5</v>
      </c>
    </row>
    <row r="42" spans="1:9" ht="15" thickBot="1" x14ac:dyDescent="0.35">
      <c r="A42" s="33" t="s">
        <v>100</v>
      </c>
      <c r="B42" s="34">
        <v>1</v>
      </c>
    </row>
    <row r="43" spans="1:9" ht="15" thickBot="1" x14ac:dyDescent="0.35">
      <c r="A43" s="35" t="s">
        <v>103</v>
      </c>
      <c r="B43" s="36">
        <v>2</v>
      </c>
    </row>
    <row r="44" spans="1:9" ht="15" thickBot="1" x14ac:dyDescent="0.35">
      <c r="A44" s="37" t="s">
        <v>105</v>
      </c>
      <c r="B44" s="38">
        <v>3</v>
      </c>
    </row>
    <row r="45" spans="1:9" ht="15" thickBot="1" x14ac:dyDescent="0.35"/>
    <row r="46" spans="1:9" x14ac:dyDescent="0.3">
      <c r="A46" s="63" t="s">
        <v>151</v>
      </c>
      <c r="B46" s="64">
        <v>0.02</v>
      </c>
      <c r="G46" s="52" t="s">
        <v>13</v>
      </c>
      <c r="H46" s="74">
        <f>SUM(H2:H27)</f>
        <v>0</v>
      </c>
    </row>
    <row r="47" spans="1:9" ht="15" thickBot="1" x14ac:dyDescent="0.35">
      <c r="A47" s="63" t="s">
        <v>170</v>
      </c>
      <c r="B47" s="1">
        <v>15000</v>
      </c>
      <c r="G47" s="53" t="s">
        <v>152</v>
      </c>
      <c r="H47" s="76">
        <f>IF(H46*B46&gt;0,(IF(H46*B46&lt;B47,B47,H46*B46)),0)</f>
        <v>0</v>
      </c>
    </row>
  </sheetData>
  <mergeCells count="2">
    <mergeCell ref="A1:B2"/>
    <mergeCell ref="F1:I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2"/>
  <sheetViews>
    <sheetView topLeftCell="A20" workbookViewId="0">
      <selection activeCell="B43" sqref="B43"/>
    </sheetView>
  </sheetViews>
  <sheetFormatPr baseColWidth="10" defaultColWidth="11.5546875" defaultRowHeight="14.4" x14ac:dyDescent="0.3"/>
  <cols>
    <col min="1" max="1" width="37.88671875" style="1" customWidth="1"/>
    <col min="2" max="2" width="16.6640625" style="1" customWidth="1"/>
    <col min="3" max="5" width="11.5546875" style="1"/>
    <col min="6" max="6" width="34.44140625" style="1" customWidth="1"/>
    <col min="7" max="7" width="26.5546875" style="1" customWidth="1"/>
    <col min="8" max="8" width="17" style="1" customWidth="1"/>
    <col min="9" max="9" width="17.44140625" style="1" customWidth="1"/>
    <col min="10" max="10" width="15.5546875" style="1" customWidth="1"/>
    <col min="11" max="12" width="11.5546875" style="1" customWidth="1"/>
    <col min="13" max="16384" width="11.5546875" style="1"/>
  </cols>
  <sheetData>
    <row r="1" spans="1:10" ht="18.600000000000001" thickBot="1" x14ac:dyDescent="0.4">
      <c r="A1" s="82" t="s">
        <v>0</v>
      </c>
      <c r="B1" s="82"/>
      <c r="F1" s="84" t="s">
        <v>13</v>
      </c>
      <c r="G1" s="84"/>
      <c r="H1" s="84"/>
      <c r="I1" s="84"/>
    </row>
    <row r="2" spans="1:10" ht="15" thickBot="1" x14ac:dyDescent="0.35">
      <c r="A2" s="82"/>
      <c r="B2" s="82"/>
      <c r="F2" s="18" t="s">
        <v>15</v>
      </c>
      <c r="G2" s="12" t="s">
        <v>148</v>
      </c>
      <c r="H2" s="25"/>
      <c r="I2" s="15">
        <f>+B3</f>
        <v>0</v>
      </c>
    </row>
    <row r="3" spans="1:10" ht="15" thickBot="1" x14ac:dyDescent="0.35">
      <c r="A3" s="2" t="s">
        <v>51</v>
      </c>
      <c r="B3" s="3"/>
      <c r="F3" s="12" t="s">
        <v>55</v>
      </c>
      <c r="G3" s="12" t="s">
        <v>16</v>
      </c>
      <c r="H3" s="25">
        <f>+I3</f>
        <v>0</v>
      </c>
      <c r="I3" s="15">
        <f>IF(I2&lt;=B28,1.5%*I2,I4)</f>
        <v>0</v>
      </c>
    </row>
    <row r="4" spans="1:10" ht="15" thickBot="1" x14ac:dyDescent="0.35">
      <c r="A4" s="2" t="s">
        <v>1</v>
      </c>
      <c r="B4" s="3"/>
      <c r="F4" s="12" t="s">
        <v>56</v>
      </c>
      <c r="G4" s="12" t="s">
        <v>18</v>
      </c>
      <c r="H4" s="12"/>
      <c r="I4" s="15">
        <f>IF(I2&lt;B29,1%*I2+B23*15000,I5)</f>
        <v>464070</v>
      </c>
      <c r="J4" s="24"/>
    </row>
    <row r="5" spans="1:10" ht="15" thickBot="1" x14ac:dyDescent="0.35">
      <c r="A5" s="2" t="s">
        <v>66</v>
      </c>
      <c r="B5" s="3"/>
      <c r="F5" s="12" t="s">
        <v>57</v>
      </c>
      <c r="G5" s="12" t="s">
        <v>20</v>
      </c>
      <c r="H5" s="12"/>
      <c r="I5" s="15">
        <f>IF(I2&gt;B29,0.5%*I2+B23*105000,I6)</f>
        <v>0</v>
      </c>
    </row>
    <row r="6" spans="1:10" ht="15" thickBot="1" x14ac:dyDescent="0.35">
      <c r="A6" s="2" t="s">
        <v>67</v>
      </c>
      <c r="B6" s="3"/>
      <c r="F6" s="12"/>
      <c r="G6" s="12"/>
      <c r="H6" s="12"/>
      <c r="I6" s="15"/>
    </row>
    <row r="7" spans="1:10" ht="15" thickBot="1" x14ac:dyDescent="0.35">
      <c r="A7" s="2" t="s">
        <v>2</v>
      </c>
      <c r="B7" s="4"/>
      <c r="F7" s="18" t="s">
        <v>90</v>
      </c>
      <c r="G7" s="12"/>
      <c r="H7" s="12"/>
      <c r="I7" s="15"/>
    </row>
    <row r="8" spans="1:10" ht="15" thickBot="1" x14ac:dyDescent="0.35">
      <c r="A8" s="2" t="s">
        <v>158</v>
      </c>
      <c r="B8" s="4"/>
      <c r="F8" s="12" t="s">
        <v>68</v>
      </c>
      <c r="G8" s="12" t="s">
        <v>154</v>
      </c>
      <c r="H8" s="25">
        <f>+I8</f>
        <v>0</v>
      </c>
      <c r="I8" s="15">
        <f>+IF($B$4&lt;=1,2000*$B$24*B4,I9)</f>
        <v>0</v>
      </c>
    </row>
    <row r="9" spans="1:10" ht="15" thickBot="1" x14ac:dyDescent="0.35">
      <c r="A9" s="2" t="s">
        <v>81</v>
      </c>
      <c r="B9" s="4"/>
      <c r="F9" s="12" t="s">
        <v>69</v>
      </c>
      <c r="G9" s="12" t="s">
        <v>70</v>
      </c>
      <c r="H9" s="12"/>
      <c r="I9" s="15">
        <f>+IF($B$4&lt;=20,2000*$B$24+250*B24*(B4-1),I10)</f>
        <v>107329.25</v>
      </c>
    </row>
    <row r="10" spans="1:10" ht="15" thickBot="1" x14ac:dyDescent="0.35">
      <c r="A10" s="2" t="s">
        <v>82</v>
      </c>
      <c r="B10" s="4"/>
      <c r="F10" s="12" t="s">
        <v>71</v>
      </c>
      <c r="G10" s="12" t="s">
        <v>72</v>
      </c>
      <c r="H10" s="12"/>
      <c r="I10" s="15">
        <f>+IF($B$4&lt;=50,7000*$B$24+120*B24*(B4-20),I11)</f>
        <v>282122.59999999998</v>
      </c>
    </row>
    <row r="11" spans="1:10" ht="15" thickBot="1" x14ac:dyDescent="0.35">
      <c r="A11" s="2" t="s">
        <v>83</v>
      </c>
      <c r="B11" s="4"/>
      <c r="F11" s="12" t="s">
        <v>73</v>
      </c>
      <c r="G11" s="12" t="s">
        <v>74</v>
      </c>
      <c r="H11" s="12"/>
      <c r="I11" s="15">
        <f>+IF($B$4&lt;=100,10600*$B$24+100*$B$24*($B$4-50),I12)</f>
        <v>343453.6</v>
      </c>
    </row>
    <row r="12" spans="1:10" ht="15" thickBot="1" x14ac:dyDescent="0.35">
      <c r="A12" s="2" t="s">
        <v>120</v>
      </c>
      <c r="B12" s="4"/>
      <c r="F12" s="12" t="s">
        <v>75</v>
      </c>
      <c r="G12" s="12" t="s">
        <v>76</v>
      </c>
      <c r="H12" s="12"/>
      <c r="I12" s="15">
        <f>+IF($B$4&gt;100,15000*$B$24+70*$B$24*($B$4-100),0)</f>
        <v>0</v>
      </c>
    </row>
    <row r="13" spans="1:10" ht="15" thickBot="1" x14ac:dyDescent="0.35">
      <c r="A13" s="2" t="s">
        <v>114</v>
      </c>
      <c r="B13" s="4"/>
      <c r="F13" s="12" t="s">
        <v>88</v>
      </c>
      <c r="G13" s="12"/>
      <c r="H13" s="12"/>
      <c r="I13" s="15"/>
    </row>
    <row r="14" spans="1:10" ht="15" thickBot="1" x14ac:dyDescent="0.35">
      <c r="A14" s="2" t="s">
        <v>113</v>
      </c>
      <c r="B14" s="4"/>
      <c r="F14" s="12"/>
      <c r="G14" s="12"/>
      <c r="H14" s="12"/>
      <c r="I14" s="15"/>
    </row>
    <row r="15" spans="1:10" ht="15" thickBot="1" x14ac:dyDescent="0.35">
      <c r="A15" s="2" t="s">
        <v>110</v>
      </c>
      <c r="B15" s="4"/>
      <c r="F15" s="18"/>
      <c r="G15" s="12"/>
      <c r="H15" s="25"/>
      <c r="I15" s="15"/>
    </row>
    <row r="16" spans="1:10" ht="15" thickBot="1" x14ac:dyDescent="0.35">
      <c r="A16" s="2" t="s">
        <v>152</v>
      </c>
      <c r="B16" s="5">
        <f>+H42</f>
        <v>0</v>
      </c>
      <c r="C16" s="61"/>
      <c r="F16" s="18" t="s">
        <v>119</v>
      </c>
      <c r="G16" s="12" t="s">
        <v>80</v>
      </c>
      <c r="H16" s="25">
        <f t="shared" ref="H16:H22" si="0">+I16</f>
        <v>0</v>
      </c>
      <c r="I16" s="15">
        <f>IF(B8&gt;4,270*B24*(B8-4),0)</f>
        <v>0</v>
      </c>
      <c r="J16" s="1" t="s">
        <v>156</v>
      </c>
    </row>
    <row r="17" spans="1:10" x14ac:dyDescent="0.3">
      <c r="F17" s="18" t="s">
        <v>92</v>
      </c>
      <c r="G17" s="12" t="s">
        <v>85</v>
      </c>
      <c r="H17" s="25">
        <f t="shared" si="0"/>
        <v>0</v>
      </c>
      <c r="I17" s="15">
        <f>390*B24*B9</f>
        <v>0</v>
      </c>
    </row>
    <row r="18" spans="1:10" x14ac:dyDescent="0.3">
      <c r="F18" s="18" t="s">
        <v>93</v>
      </c>
      <c r="G18" s="12" t="s">
        <v>86</v>
      </c>
      <c r="H18" s="24">
        <f t="shared" si="0"/>
        <v>0</v>
      </c>
      <c r="I18" s="15">
        <f>900*B10*B24</f>
        <v>0</v>
      </c>
    </row>
    <row r="19" spans="1:10" x14ac:dyDescent="0.3">
      <c r="F19" s="18" t="s">
        <v>94</v>
      </c>
      <c r="G19" s="12" t="s">
        <v>87</v>
      </c>
      <c r="H19" s="15">
        <f t="shared" si="0"/>
        <v>0</v>
      </c>
      <c r="I19" s="15">
        <f>1100*B24*B11</f>
        <v>0</v>
      </c>
    </row>
    <row r="20" spans="1:10" x14ac:dyDescent="0.3">
      <c r="F20" s="12" t="s">
        <v>107</v>
      </c>
      <c r="G20" s="12" t="s">
        <v>121</v>
      </c>
      <c r="H20" s="15">
        <f t="shared" si="0"/>
        <v>0</v>
      </c>
      <c r="I20" s="15">
        <f>IF(B12&gt;0,B12*$B$24*270,0)</f>
        <v>0</v>
      </c>
    </row>
    <row r="21" spans="1:10" ht="15" thickBot="1" x14ac:dyDescent="0.35">
      <c r="F21" s="12" t="s">
        <v>108</v>
      </c>
      <c r="G21" s="12" t="s">
        <v>122</v>
      </c>
      <c r="H21" s="15">
        <f t="shared" si="0"/>
        <v>0</v>
      </c>
      <c r="I21" s="15">
        <f>IF(B13&gt;0,B13*$B$24*540,0)</f>
        <v>0</v>
      </c>
    </row>
    <row r="22" spans="1:10" ht="15" thickBot="1" x14ac:dyDescent="0.35">
      <c r="A22" s="22" t="s">
        <v>30</v>
      </c>
      <c r="B22" s="23">
        <f>RAIZ!C2</f>
        <v>2024</v>
      </c>
      <c r="F22" s="12" t="s">
        <v>109</v>
      </c>
      <c r="G22" s="12" t="s">
        <v>123</v>
      </c>
      <c r="H22" s="15">
        <f t="shared" si="0"/>
        <v>0</v>
      </c>
      <c r="I22" s="15">
        <f>IF(B14&gt;0,B14*$B$24*810,0)</f>
        <v>0</v>
      </c>
    </row>
    <row r="23" spans="1:10" ht="15" thickBot="1" x14ac:dyDescent="0.35">
      <c r="A23" s="21" t="s">
        <v>26</v>
      </c>
      <c r="B23" s="23">
        <f>RAIZ!C3</f>
        <v>30.937999999999999</v>
      </c>
      <c r="F23" s="12"/>
      <c r="G23" s="12"/>
      <c r="H23" s="12"/>
      <c r="I23" s="15"/>
    </row>
    <row r="24" spans="1:10" ht="15" thickBot="1" x14ac:dyDescent="0.35">
      <c r="A24" s="19" t="s">
        <v>9</v>
      </c>
      <c r="B24" s="23">
        <f>RAIZ!C4</f>
        <v>61.331000000000003</v>
      </c>
      <c r="C24" s="1">
        <f>810*B24*B14</f>
        <v>0</v>
      </c>
      <c r="F24" s="18" t="s">
        <v>111</v>
      </c>
      <c r="G24" s="12" t="s">
        <v>112</v>
      </c>
      <c r="H24" s="15">
        <f>+I24</f>
        <v>0</v>
      </c>
      <c r="I24" s="15">
        <f>+IF(B15&gt;0,(+H8+H9+H10+H11+H12+H13+H14+H15+H16+H17+H18+H19+H20+H21+H22)*50%,0)</f>
        <v>0</v>
      </c>
    </row>
    <row r="25" spans="1:10" ht="15" thickBot="1" x14ac:dyDescent="0.35">
      <c r="A25" s="20" t="s">
        <v>27</v>
      </c>
      <c r="B25" s="23">
        <f>RAIZ!C5</f>
        <v>369.07600000000002</v>
      </c>
      <c r="F25" s="18"/>
      <c r="G25" s="12"/>
      <c r="H25" s="15"/>
      <c r="I25" s="15"/>
      <c r="J25" s="24">
        <f>+H8+H9+H10+H11+H12+H13+H14+H15+H16++H17+H18+H19+H20+H21+H22+H23+H24</f>
        <v>0</v>
      </c>
    </row>
    <row r="26" spans="1:10" x14ac:dyDescent="0.3">
      <c r="F26" s="18" t="s">
        <v>124</v>
      </c>
      <c r="G26" s="12"/>
      <c r="H26" s="15"/>
      <c r="I26" s="15"/>
    </row>
    <row r="27" spans="1:10" x14ac:dyDescent="0.3">
      <c r="A27" s="1" t="s">
        <v>52</v>
      </c>
      <c r="F27" s="12" t="s">
        <v>125</v>
      </c>
      <c r="G27" s="39" t="s">
        <v>129</v>
      </c>
      <c r="H27" s="15">
        <f>+I27</f>
        <v>0</v>
      </c>
      <c r="I27" s="15">
        <f>IF($B$7&lt;=5,$J$25*10%*$B$7,I28)</f>
        <v>0</v>
      </c>
    </row>
    <row r="28" spans="1:10" x14ac:dyDescent="0.3">
      <c r="A28" s="1" t="s">
        <v>53</v>
      </c>
      <c r="B28" s="14">
        <f>+B23*1000000</f>
        <v>30938000</v>
      </c>
      <c r="F28" s="12" t="s">
        <v>126</v>
      </c>
      <c r="G28" s="39" t="s">
        <v>130</v>
      </c>
      <c r="H28" s="15"/>
      <c r="I28" s="15">
        <f>IF($B$7&lt;=20,$J$25*5%*($B$7-5)+$J$25*10%*5,I29)</f>
        <v>0</v>
      </c>
    </row>
    <row r="29" spans="1:10" x14ac:dyDescent="0.3">
      <c r="A29" s="1" t="s">
        <v>54</v>
      </c>
      <c r="B29" s="14">
        <f>+B23*10000000</f>
        <v>309380000</v>
      </c>
      <c r="F29" s="12" t="s">
        <v>127</v>
      </c>
      <c r="G29" s="39" t="s">
        <v>131</v>
      </c>
      <c r="H29" s="15"/>
      <c r="I29" s="15">
        <f>IF($B$7&lt;60,$J$25*3%*($B$7-20)+$J$25*10%*5+$J$25*5%*15,I30)</f>
        <v>0</v>
      </c>
    </row>
    <row r="30" spans="1:10" x14ac:dyDescent="0.3">
      <c r="F30" s="12" t="s">
        <v>128</v>
      </c>
      <c r="G30" s="45" t="s">
        <v>132</v>
      </c>
      <c r="H30" s="46"/>
      <c r="I30" s="15">
        <f>IF($B$7&gt;60,$J$25*2%*($B$7-50)+$J$25*10%*5+$J$25*5%*15+$J$25*30*3%,I41)</f>
        <v>0</v>
      </c>
    </row>
    <row r="33" spans="1:8" ht="15" thickBot="1" x14ac:dyDescent="0.35">
      <c r="H33" s="14"/>
    </row>
    <row r="34" spans="1:8" ht="15" thickBot="1" x14ac:dyDescent="0.35">
      <c r="A34" s="2" t="s">
        <v>59</v>
      </c>
      <c r="B34" s="3">
        <v>1</v>
      </c>
      <c r="H34" s="42"/>
    </row>
    <row r="35" spans="1:8" ht="15" thickBot="1" x14ac:dyDescent="0.35">
      <c r="A35" s="2" t="s">
        <v>60</v>
      </c>
      <c r="B35" s="3">
        <v>1.5</v>
      </c>
    </row>
    <row r="36" spans="1:8" ht="15" thickBot="1" x14ac:dyDescent="0.35">
      <c r="A36" s="2" t="s">
        <v>61</v>
      </c>
      <c r="B36" s="3">
        <v>2.5</v>
      </c>
    </row>
    <row r="37" spans="1:8" ht="15" thickBot="1" x14ac:dyDescent="0.35">
      <c r="A37" s="2" t="s">
        <v>62</v>
      </c>
      <c r="B37" s="3">
        <v>1</v>
      </c>
    </row>
    <row r="38" spans="1:8" ht="15" thickBot="1" x14ac:dyDescent="0.35">
      <c r="A38" s="2" t="s">
        <v>63</v>
      </c>
      <c r="B38" s="3">
        <v>1.2</v>
      </c>
    </row>
    <row r="39" spans="1:8" ht="15" thickBot="1" x14ac:dyDescent="0.35">
      <c r="A39" s="2" t="s">
        <v>64</v>
      </c>
      <c r="B39" s="3">
        <v>1.5</v>
      </c>
    </row>
    <row r="40" spans="1:8" ht="15" thickBot="1" x14ac:dyDescent="0.35"/>
    <row r="41" spans="1:8" ht="15" thickBot="1" x14ac:dyDescent="0.35">
      <c r="A41" s="63" t="s">
        <v>151</v>
      </c>
      <c r="B41" s="64">
        <v>0.02</v>
      </c>
      <c r="G41" s="54" t="s">
        <v>13</v>
      </c>
      <c r="H41" s="74">
        <f>SUM(H2:H23)</f>
        <v>0</v>
      </c>
    </row>
    <row r="42" spans="1:8" ht="15" thickBot="1" x14ac:dyDescent="0.35">
      <c r="A42" s="63" t="s">
        <v>170</v>
      </c>
      <c r="B42" s="1">
        <v>15000</v>
      </c>
      <c r="G42" s="47" t="s">
        <v>152</v>
      </c>
      <c r="H42" s="76">
        <f>IF(H41*B41&gt;0,(IF(H41*B41&lt;B42,B42,H41*B41)),0)</f>
        <v>0</v>
      </c>
    </row>
  </sheetData>
  <mergeCells count="2">
    <mergeCell ref="A1:B2"/>
    <mergeCell ref="F1:I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topLeftCell="A25" workbookViewId="0">
      <selection activeCell="B43" sqref="B43"/>
    </sheetView>
  </sheetViews>
  <sheetFormatPr baseColWidth="10" defaultColWidth="11.5546875" defaultRowHeight="14.4" x14ac:dyDescent="0.3"/>
  <cols>
    <col min="1" max="1" width="35.88671875" style="1" customWidth="1"/>
    <col min="2" max="2" width="16.6640625" style="1" customWidth="1"/>
    <col min="3" max="5" width="11.5546875" style="1"/>
    <col min="6" max="6" width="34.44140625" style="1" customWidth="1"/>
    <col min="7" max="7" width="26.5546875" style="1" customWidth="1"/>
    <col min="8" max="8" width="18.44140625" style="1" customWidth="1"/>
    <col min="9" max="9" width="17.44140625" style="14" customWidth="1"/>
    <col min="10" max="10" width="15.44140625" style="1" customWidth="1"/>
    <col min="11" max="12" width="11.5546875" style="1" customWidth="1"/>
    <col min="13" max="16384" width="11.5546875" style="1"/>
  </cols>
  <sheetData>
    <row r="1" spans="1:10" ht="18.600000000000001" thickBot="1" x14ac:dyDescent="0.4">
      <c r="A1" s="82" t="s">
        <v>0</v>
      </c>
      <c r="B1" s="82"/>
      <c r="F1" s="85" t="s">
        <v>13</v>
      </c>
      <c r="G1" s="85"/>
      <c r="H1" s="85"/>
      <c r="I1" s="85"/>
    </row>
    <row r="2" spans="1:10" ht="15" thickBot="1" x14ac:dyDescent="0.35">
      <c r="A2" s="82"/>
      <c r="B2" s="82"/>
      <c r="F2" s="18" t="s">
        <v>15</v>
      </c>
      <c r="G2" s="12" t="s">
        <v>148</v>
      </c>
      <c r="H2" s="15"/>
      <c r="I2" s="15">
        <f>+B3</f>
        <v>0</v>
      </c>
    </row>
    <row r="3" spans="1:10" ht="15" thickBot="1" x14ac:dyDescent="0.35">
      <c r="A3" s="2" t="s">
        <v>51</v>
      </c>
      <c r="B3" s="3"/>
      <c r="F3" s="12" t="s">
        <v>55</v>
      </c>
      <c r="G3" s="12" t="s">
        <v>16</v>
      </c>
      <c r="H3" s="25">
        <f>+I3</f>
        <v>0</v>
      </c>
      <c r="I3" s="15">
        <f>IF(I2&lt;=B28,1.5%*I2,I4)</f>
        <v>0</v>
      </c>
    </row>
    <row r="4" spans="1:10" ht="15" thickBot="1" x14ac:dyDescent="0.35">
      <c r="A4" s="2" t="s">
        <v>1</v>
      </c>
      <c r="B4" s="3"/>
      <c r="F4" s="12" t="s">
        <v>56</v>
      </c>
      <c r="G4" s="12" t="s">
        <v>18</v>
      </c>
      <c r="H4" s="12"/>
      <c r="I4" s="15">
        <f>IF(I2&lt;B29,1%*I2+B23*15000,I5)</f>
        <v>464070</v>
      </c>
      <c r="J4" s="24"/>
    </row>
    <row r="5" spans="1:10" ht="15" thickBot="1" x14ac:dyDescent="0.35">
      <c r="A5" s="2" t="s">
        <v>66</v>
      </c>
      <c r="B5" s="3"/>
      <c r="F5" s="12" t="s">
        <v>57</v>
      </c>
      <c r="G5" s="12" t="s">
        <v>20</v>
      </c>
      <c r="H5" s="12"/>
      <c r="I5" s="15">
        <f>IF(I2&gt;B29,0.5%*I2+B23*105000,I7)</f>
        <v>0</v>
      </c>
    </row>
    <row r="6" spans="1:10" ht="15" thickBot="1" x14ac:dyDescent="0.35">
      <c r="A6" s="2" t="s">
        <v>67</v>
      </c>
      <c r="B6" s="3"/>
      <c r="F6" s="12"/>
      <c r="G6" s="12"/>
      <c r="H6" s="12"/>
      <c r="I6" s="15"/>
    </row>
    <row r="7" spans="1:10" ht="15" thickBot="1" x14ac:dyDescent="0.35">
      <c r="A7" s="2" t="s">
        <v>2</v>
      </c>
      <c r="B7" s="4"/>
      <c r="F7" s="18" t="s">
        <v>89</v>
      </c>
      <c r="G7" s="12"/>
      <c r="H7" s="12"/>
      <c r="I7" s="15"/>
    </row>
    <row r="8" spans="1:10" ht="15" thickBot="1" x14ac:dyDescent="0.35">
      <c r="A8" s="2" t="s">
        <v>81</v>
      </c>
      <c r="B8" s="4"/>
      <c r="F8" s="12" t="s">
        <v>68</v>
      </c>
      <c r="G8" s="12" t="s">
        <v>155</v>
      </c>
      <c r="H8" s="25">
        <f>+I8</f>
        <v>0</v>
      </c>
      <c r="I8" s="15">
        <f>+IF($B$4&lt;=1,2500*$B$24*B4,I9)</f>
        <v>0</v>
      </c>
    </row>
    <row r="9" spans="1:10" ht="15" thickBot="1" x14ac:dyDescent="0.35">
      <c r="A9" s="2" t="s">
        <v>82</v>
      </c>
      <c r="B9" s="4"/>
      <c r="F9" s="12" t="s">
        <v>69</v>
      </c>
      <c r="G9" s="12" t="s">
        <v>77</v>
      </c>
      <c r="H9" s="12"/>
      <c r="I9" s="15">
        <f>+IF($B$4&lt;=20,2500*$B$24*1+300*$B$24*($B$4-1),I10)</f>
        <v>134928.20000000001</v>
      </c>
    </row>
    <row r="10" spans="1:10" ht="15" thickBot="1" x14ac:dyDescent="0.35">
      <c r="A10" s="2" t="s">
        <v>83</v>
      </c>
      <c r="B10" s="4"/>
      <c r="F10" s="12" t="s">
        <v>71</v>
      </c>
      <c r="G10" s="12" t="s">
        <v>72</v>
      </c>
      <c r="H10" s="12"/>
      <c r="I10" s="15">
        <f>+IF($B$4&lt;=50,7000*$B$24+120*B24*(B4-20),I11)</f>
        <v>282122.59999999998</v>
      </c>
    </row>
    <row r="11" spans="1:10" ht="15" thickBot="1" x14ac:dyDescent="0.35">
      <c r="A11" s="2" t="s">
        <v>120</v>
      </c>
      <c r="B11" s="4"/>
      <c r="F11" s="12" t="s">
        <v>78</v>
      </c>
      <c r="G11" s="12" t="s">
        <v>79</v>
      </c>
      <c r="H11" s="12"/>
      <c r="I11" s="15">
        <f>+IF($B$4&gt;50,14500*$B$24+100*$B$24*($B$4-50),I12)</f>
        <v>0</v>
      </c>
    </row>
    <row r="12" spans="1:10" ht="15" thickBot="1" x14ac:dyDescent="0.35">
      <c r="A12" s="2" t="s">
        <v>114</v>
      </c>
      <c r="B12" s="4"/>
      <c r="F12" s="12"/>
      <c r="G12" s="12"/>
      <c r="H12" s="12"/>
      <c r="I12" s="15"/>
    </row>
    <row r="13" spans="1:10" ht="15" thickBot="1" x14ac:dyDescent="0.35">
      <c r="A13" s="2" t="s">
        <v>113</v>
      </c>
      <c r="B13" s="4"/>
      <c r="F13" s="18"/>
      <c r="G13" s="12"/>
      <c r="H13" s="25"/>
      <c r="I13" s="15"/>
    </row>
    <row r="14" spans="1:10" ht="15" thickBot="1" x14ac:dyDescent="0.35">
      <c r="A14" s="2" t="s">
        <v>110</v>
      </c>
      <c r="B14" s="4"/>
      <c r="F14" s="18"/>
      <c r="G14" s="12"/>
      <c r="H14" s="25"/>
      <c r="I14" s="15"/>
    </row>
    <row r="15" spans="1:10" ht="15" thickBot="1" x14ac:dyDescent="0.35">
      <c r="A15" s="2" t="s">
        <v>149</v>
      </c>
      <c r="B15" s="4"/>
      <c r="F15" s="18" t="s">
        <v>91</v>
      </c>
      <c r="G15" s="12" t="s">
        <v>80</v>
      </c>
      <c r="H15" s="25">
        <f t="shared" ref="H15:H18" si="0">+I15</f>
        <v>0</v>
      </c>
      <c r="I15" s="15">
        <f>IF(B15&gt;4,270*B24*(B15-4),0)</f>
        <v>0</v>
      </c>
    </row>
    <row r="16" spans="1:10" ht="15" thickBot="1" x14ac:dyDescent="0.35">
      <c r="A16" s="2" t="s">
        <v>152</v>
      </c>
      <c r="B16" s="5">
        <f>+H42</f>
        <v>0</v>
      </c>
      <c r="C16" s="61"/>
      <c r="F16" s="18" t="s">
        <v>92</v>
      </c>
      <c r="G16" s="12" t="s">
        <v>85</v>
      </c>
      <c r="H16" s="25">
        <f t="shared" si="0"/>
        <v>0</v>
      </c>
      <c r="I16" s="15">
        <f>390*B24*B8</f>
        <v>0</v>
      </c>
    </row>
    <row r="17" spans="1:13" x14ac:dyDescent="0.3">
      <c r="F17" s="18" t="s">
        <v>93</v>
      </c>
      <c r="G17" s="12" t="s">
        <v>86</v>
      </c>
      <c r="H17" s="24">
        <f t="shared" si="0"/>
        <v>0</v>
      </c>
      <c r="I17" s="15">
        <f>900*B9*B24</f>
        <v>0</v>
      </c>
    </row>
    <row r="18" spans="1:13" x14ac:dyDescent="0.3">
      <c r="F18" s="18" t="s">
        <v>94</v>
      </c>
      <c r="G18" s="12" t="s">
        <v>87</v>
      </c>
      <c r="H18" s="15">
        <f t="shared" si="0"/>
        <v>0</v>
      </c>
      <c r="I18" s="15">
        <f>1100*B24*B10</f>
        <v>0</v>
      </c>
    </row>
    <row r="19" spans="1:13" x14ac:dyDescent="0.3">
      <c r="F19" s="12" t="s">
        <v>107</v>
      </c>
      <c r="G19" s="12" t="s">
        <v>121</v>
      </c>
      <c r="H19" s="15">
        <f>+I19</f>
        <v>0</v>
      </c>
      <c r="I19" s="15">
        <f>IF(B11&gt;0,B11*$B$24*270,0)</f>
        <v>0</v>
      </c>
    </row>
    <row r="20" spans="1:13" x14ac:dyDescent="0.3">
      <c r="F20" s="12" t="s">
        <v>108</v>
      </c>
      <c r="G20" s="12" t="s">
        <v>122</v>
      </c>
      <c r="H20" s="15">
        <f>+I20</f>
        <v>0</v>
      </c>
      <c r="I20" s="15">
        <f>IF(B12&gt;0,B12*$B$24*540,0)</f>
        <v>0</v>
      </c>
    </row>
    <row r="21" spans="1:13" ht="15" thickBot="1" x14ac:dyDescent="0.35">
      <c r="F21" s="12" t="s">
        <v>109</v>
      </c>
      <c r="G21" s="12" t="s">
        <v>123</v>
      </c>
      <c r="H21" s="15">
        <f>+I21</f>
        <v>0</v>
      </c>
      <c r="I21" s="15">
        <f>IF(B13&gt;0,B13*$B$24*810,0)</f>
        <v>0</v>
      </c>
    </row>
    <row r="22" spans="1:13" ht="15" thickBot="1" x14ac:dyDescent="0.35">
      <c r="A22" s="22" t="s">
        <v>30</v>
      </c>
      <c r="B22" s="23">
        <f>RAIZ!C2</f>
        <v>2024</v>
      </c>
      <c r="F22" s="12"/>
      <c r="G22" s="12"/>
      <c r="H22" s="12"/>
      <c r="I22" s="15"/>
    </row>
    <row r="23" spans="1:13" ht="15" thickBot="1" x14ac:dyDescent="0.35">
      <c r="A23" s="21" t="s">
        <v>26</v>
      </c>
      <c r="B23" s="23">
        <f>RAIZ!C3</f>
        <v>30.937999999999999</v>
      </c>
      <c r="F23" s="18" t="s">
        <v>111</v>
      </c>
      <c r="G23" s="12" t="s">
        <v>112</v>
      </c>
      <c r="H23" s="15">
        <f>+I23</f>
        <v>0</v>
      </c>
      <c r="I23" s="15">
        <f>+IF(B14&gt;0,(+H8+H9+H10+H11+H12+H13+H14+H15+H16+H17+H18+H19+H20+H21)*50%,0)</f>
        <v>0</v>
      </c>
    </row>
    <row r="24" spans="1:13" ht="15" thickBot="1" x14ac:dyDescent="0.35">
      <c r="A24" s="19" t="s">
        <v>9</v>
      </c>
      <c r="B24" s="23">
        <f>RAIZ!C4</f>
        <v>61.331000000000003</v>
      </c>
      <c r="F24" s="12"/>
      <c r="G24" s="12"/>
      <c r="H24" s="15"/>
      <c r="I24" s="15"/>
    </row>
    <row r="25" spans="1:13" ht="15" thickBot="1" x14ac:dyDescent="0.35">
      <c r="A25" s="20" t="s">
        <v>27</v>
      </c>
      <c r="B25" s="23">
        <f>RAIZ!C5</f>
        <v>369.07600000000002</v>
      </c>
      <c r="F25" s="18"/>
      <c r="G25" s="12"/>
      <c r="H25" s="15"/>
      <c r="I25" s="15"/>
      <c r="J25" s="24">
        <f>+H8+H15+H16+H17+H18+H19+H2+H21+H23</f>
        <v>0</v>
      </c>
      <c r="L25" s="40"/>
      <c r="M25" s="40"/>
    </row>
    <row r="26" spans="1:13" x14ac:dyDescent="0.3">
      <c r="F26" s="18" t="s">
        <v>124</v>
      </c>
      <c r="G26" s="12"/>
      <c r="H26" s="15"/>
      <c r="I26" s="15"/>
      <c r="L26" s="40"/>
      <c r="M26" s="40"/>
    </row>
    <row r="27" spans="1:13" x14ac:dyDescent="0.3">
      <c r="A27" s="1" t="s">
        <v>52</v>
      </c>
      <c r="F27" s="12" t="s">
        <v>125</v>
      </c>
      <c r="G27" s="39" t="s">
        <v>129</v>
      </c>
      <c r="H27" s="15">
        <f>+I27</f>
        <v>0</v>
      </c>
      <c r="I27" s="15">
        <f>IF($B$7&lt;=5,$J$25*10%*$B$7,I28)</f>
        <v>0</v>
      </c>
      <c r="J27" s="41"/>
      <c r="M27" s="40"/>
    </row>
    <row r="28" spans="1:13" x14ac:dyDescent="0.3">
      <c r="A28" s="1" t="s">
        <v>53</v>
      </c>
      <c r="B28" s="14">
        <f>+B23*1000000</f>
        <v>30938000</v>
      </c>
      <c r="F28" s="12" t="s">
        <v>126</v>
      </c>
      <c r="G28" s="39" t="s">
        <v>130</v>
      </c>
      <c r="H28" s="15"/>
      <c r="I28" s="15">
        <f>IF($B$7&lt;=20,$J$25*5%*($B$7-5)+$J$25*10%*5,I29)</f>
        <v>0</v>
      </c>
      <c r="M28" s="40"/>
    </row>
    <row r="29" spans="1:13" x14ac:dyDescent="0.3">
      <c r="A29" s="1" t="s">
        <v>54</v>
      </c>
      <c r="B29" s="14">
        <f>+B23*10000000</f>
        <v>309380000</v>
      </c>
      <c r="F29" s="12" t="s">
        <v>127</v>
      </c>
      <c r="G29" s="39" t="s">
        <v>131</v>
      </c>
      <c r="H29" s="15"/>
      <c r="I29" s="15">
        <f>IF($B$7&lt;60,$J$25*3%*($B$7-20)+$J$25*10%*5+$J$25*5%*15,I30)</f>
        <v>0</v>
      </c>
      <c r="M29" s="40"/>
    </row>
    <row r="30" spans="1:13" x14ac:dyDescent="0.3">
      <c r="F30" s="12" t="s">
        <v>128</v>
      </c>
      <c r="G30" s="39" t="s">
        <v>150</v>
      </c>
      <c r="H30" s="15"/>
      <c r="I30" s="15">
        <f>IF($B$7&gt;60,$J$25*2%*($B$7-50)+$J$25*10%*5+$J$25*5%*15+$J$25*30*3%,I31)</f>
        <v>0</v>
      </c>
      <c r="M30" s="40"/>
    </row>
    <row r="31" spans="1:13" x14ac:dyDescent="0.3">
      <c r="F31" s="12"/>
      <c r="G31" s="12"/>
      <c r="H31" s="12"/>
      <c r="I31" s="15"/>
    </row>
    <row r="32" spans="1:13" x14ac:dyDescent="0.3">
      <c r="F32" s="12"/>
      <c r="G32" s="12"/>
      <c r="H32" s="12"/>
      <c r="I32" s="15"/>
    </row>
    <row r="33" spans="1:11" ht="15" thickBot="1" x14ac:dyDescent="0.35">
      <c r="F33" s="12"/>
      <c r="G33" s="49"/>
      <c r="H33" s="49"/>
      <c r="I33" s="15"/>
    </row>
    <row r="34" spans="1:11" ht="15" thickBot="1" x14ac:dyDescent="0.35">
      <c r="A34" s="2" t="s">
        <v>59</v>
      </c>
      <c r="B34" s="3">
        <v>1</v>
      </c>
    </row>
    <row r="35" spans="1:11" ht="15" thickBot="1" x14ac:dyDescent="0.35">
      <c r="A35" s="2" t="s">
        <v>60</v>
      </c>
      <c r="B35" s="3">
        <v>1.5</v>
      </c>
      <c r="I35" s="42"/>
    </row>
    <row r="36" spans="1:11" ht="15" thickBot="1" x14ac:dyDescent="0.35">
      <c r="A36" s="2" t="s">
        <v>61</v>
      </c>
      <c r="B36" s="3">
        <v>2.5</v>
      </c>
    </row>
    <row r="37" spans="1:11" ht="15" thickBot="1" x14ac:dyDescent="0.35">
      <c r="A37" s="2" t="s">
        <v>62</v>
      </c>
      <c r="B37" s="3">
        <v>1</v>
      </c>
      <c r="K37" s="1" t="s">
        <v>133</v>
      </c>
    </row>
    <row r="38" spans="1:11" ht="15" thickBot="1" x14ac:dyDescent="0.35">
      <c r="A38" s="2" t="s">
        <v>63</v>
      </c>
      <c r="B38" s="3">
        <v>1.2</v>
      </c>
    </row>
    <row r="39" spans="1:11" ht="15" thickBot="1" x14ac:dyDescent="0.35">
      <c r="A39" s="2" t="s">
        <v>64</v>
      </c>
      <c r="B39" s="3">
        <v>1.5</v>
      </c>
    </row>
    <row r="40" spans="1:11" ht="15" thickBot="1" x14ac:dyDescent="0.35"/>
    <row r="41" spans="1:11" ht="15" thickBot="1" x14ac:dyDescent="0.35">
      <c r="A41" s="63" t="s">
        <v>151</v>
      </c>
      <c r="B41" s="64">
        <v>0.02</v>
      </c>
      <c r="G41" s="55" t="s">
        <v>13</v>
      </c>
      <c r="H41" s="74">
        <f>SUM(H8:H33)</f>
        <v>0</v>
      </c>
    </row>
    <row r="42" spans="1:11" ht="15" thickBot="1" x14ac:dyDescent="0.35">
      <c r="A42" s="63" t="s">
        <v>170</v>
      </c>
      <c r="B42" s="1">
        <v>15000</v>
      </c>
      <c r="G42" s="47" t="s">
        <v>152</v>
      </c>
      <c r="H42" s="76">
        <f>IF(H41*B41&gt;0,(IF(H41*B41&lt;B42,B42,H41*B41)),0)</f>
        <v>0</v>
      </c>
    </row>
  </sheetData>
  <mergeCells count="2">
    <mergeCell ref="A1:B2"/>
    <mergeCell ref="F1:I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topLeftCell="A10" workbookViewId="0">
      <selection activeCell="B36" sqref="B36"/>
    </sheetView>
  </sheetViews>
  <sheetFormatPr baseColWidth="10" defaultColWidth="11.5546875" defaultRowHeight="14.4" x14ac:dyDescent="0.3"/>
  <cols>
    <col min="1" max="1" width="34.6640625" style="1" customWidth="1"/>
    <col min="2" max="2" width="15.44140625" style="1" customWidth="1"/>
    <col min="3" max="4" width="11.5546875" style="1"/>
    <col min="5" max="5" width="35.5546875" style="1" customWidth="1"/>
    <col min="6" max="6" width="25" style="1" customWidth="1"/>
    <col min="7" max="7" width="20.6640625" style="14" customWidth="1"/>
    <col min="8" max="8" width="18.44140625" style="14" customWidth="1"/>
    <col min="9" max="9" width="13.109375" style="1" customWidth="1"/>
    <col min="10" max="15" width="11.5546875" style="1" customWidth="1"/>
    <col min="16" max="16384" width="11.5546875" style="1"/>
  </cols>
  <sheetData>
    <row r="1" spans="1:13" ht="18.600000000000001" thickBot="1" x14ac:dyDescent="0.4">
      <c r="A1" s="86" t="s">
        <v>4</v>
      </c>
      <c r="B1" s="86"/>
      <c r="E1" s="88" t="s">
        <v>13</v>
      </c>
      <c r="F1" s="88"/>
      <c r="G1" s="88"/>
      <c r="H1" s="88"/>
    </row>
    <row r="2" spans="1:13" ht="15" thickBot="1" x14ac:dyDescent="0.35">
      <c r="A2" s="86"/>
      <c r="B2" s="86"/>
      <c r="E2" s="57" t="s">
        <v>15</v>
      </c>
      <c r="F2" s="12" t="s">
        <v>148</v>
      </c>
      <c r="G2" s="15">
        <f>+B4</f>
        <v>0</v>
      </c>
      <c r="H2" s="15"/>
    </row>
    <row r="3" spans="1:13" ht="15" thickBot="1" x14ac:dyDescent="0.35">
      <c r="A3" s="2" t="s">
        <v>34</v>
      </c>
      <c r="B3" s="7"/>
      <c r="E3" s="12" t="s">
        <v>58</v>
      </c>
      <c r="F3" s="50" t="s">
        <v>16</v>
      </c>
      <c r="G3" s="51">
        <f>IF($G$2&lt;=B23,1.5%*$G$2,G4)</f>
        <v>0</v>
      </c>
      <c r="H3" s="15">
        <f>+G3</f>
        <v>0</v>
      </c>
    </row>
    <row r="4" spans="1:13" ht="15" thickBot="1" x14ac:dyDescent="0.35">
      <c r="A4" s="2" t="s">
        <v>14</v>
      </c>
      <c r="B4" s="65"/>
      <c r="E4" s="12" t="s">
        <v>17</v>
      </c>
      <c r="F4" s="12" t="s">
        <v>18</v>
      </c>
      <c r="G4" s="15">
        <f>IF($G$2&lt;=B24,1%*$G$2+B18*15000,G5)</f>
        <v>464070</v>
      </c>
      <c r="H4" s="15"/>
    </row>
    <row r="5" spans="1:13" ht="15" thickBot="1" x14ac:dyDescent="0.35">
      <c r="A5" s="2" t="s">
        <v>31</v>
      </c>
      <c r="B5" s="7"/>
      <c r="E5" s="12" t="s">
        <v>19</v>
      </c>
      <c r="F5" s="12" t="s">
        <v>20</v>
      </c>
      <c r="G5" s="15">
        <f>IF($G$2&gt;B24,0.5%*$G$2+105000*B18,0)</f>
        <v>0</v>
      </c>
      <c r="H5" s="15"/>
    </row>
    <row r="6" spans="1:13" ht="15" thickBot="1" x14ac:dyDescent="0.35">
      <c r="A6" s="2" t="s">
        <v>5</v>
      </c>
      <c r="B6" s="7"/>
      <c r="E6" s="18" t="s">
        <v>21</v>
      </c>
      <c r="F6" s="12" t="s">
        <v>157</v>
      </c>
      <c r="G6" s="15">
        <f>(3000*B18+5*B5)*B19</f>
        <v>5692375.4340000004</v>
      </c>
      <c r="H6" s="15">
        <f>+G6</f>
        <v>5692375.4340000004</v>
      </c>
    </row>
    <row r="7" spans="1:13" ht="15" thickBot="1" x14ac:dyDescent="0.35">
      <c r="A7" s="2" t="s">
        <v>35</v>
      </c>
      <c r="B7" s="9"/>
      <c r="E7" s="49" t="s">
        <v>33</v>
      </c>
      <c r="F7" s="49" t="s">
        <v>166</v>
      </c>
      <c r="G7" s="46">
        <f>50*B19*B3</f>
        <v>0</v>
      </c>
      <c r="H7" s="15">
        <f>+G7</f>
        <v>0</v>
      </c>
      <c r="I7" s="1" t="s">
        <v>163</v>
      </c>
      <c r="K7" s="87"/>
      <c r="M7" s="87"/>
    </row>
    <row r="8" spans="1:13" ht="15" thickBot="1" x14ac:dyDescent="0.35">
      <c r="A8" s="2" t="s">
        <v>134</v>
      </c>
      <c r="B8" s="9"/>
      <c r="E8" s="12"/>
      <c r="F8" s="12"/>
      <c r="G8" s="15"/>
      <c r="H8" s="15"/>
      <c r="K8" s="87"/>
      <c r="M8" s="87"/>
    </row>
    <row r="9" spans="1:13" ht="15" thickBot="1" x14ac:dyDescent="0.35">
      <c r="A9" s="2" t="s">
        <v>140</v>
      </c>
      <c r="B9" s="9"/>
      <c r="E9" s="59" t="s">
        <v>135</v>
      </c>
      <c r="F9" s="56"/>
      <c r="G9" s="69"/>
      <c r="H9" s="56"/>
      <c r="K9" s="87"/>
      <c r="M9" s="87"/>
    </row>
    <row r="10" spans="1:13" ht="15" thickBot="1" x14ac:dyDescent="0.35">
      <c r="A10" s="2" t="s">
        <v>142</v>
      </c>
      <c r="B10" s="9"/>
      <c r="E10" s="56" t="s">
        <v>136</v>
      </c>
      <c r="F10" s="50"/>
      <c r="G10" s="51"/>
      <c r="H10" s="51"/>
      <c r="K10" s="87"/>
      <c r="M10" s="87"/>
    </row>
    <row r="11" spans="1:13" ht="15" thickBot="1" x14ac:dyDescent="0.35">
      <c r="A11" s="2" t="s">
        <v>152</v>
      </c>
      <c r="B11" s="10">
        <f>+H35</f>
        <v>113847.50868000001</v>
      </c>
      <c r="E11" s="12" t="s">
        <v>10</v>
      </c>
      <c r="F11" s="12" t="s">
        <v>22</v>
      </c>
      <c r="G11" s="15">
        <f>IF($B$6&lt;=4,+$B$6*$B$19*500,G12)</f>
        <v>0</v>
      </c>
      <c r="H11" s="15">
        <f>+G11</f>
        <v>0</v>
      </c>
      <c r="J11" s="6"/>
      <c r="K11" s="87"/>
      <c r="M11" s="87"/>
    </row>
    <row r="12" spans="1:13" x14ac:dyDescent="0.3">
      <c r="E12" s="12" t="s">
        <v>11</v>
      </c>
      <c r="F12" s="12" t="s">
        <v>46</v>
      </c>
      <c r="G12" s="15">
        <f>IF($B$6&lt;=10,+$B$19*450*($B$6-4)+2000*$B$19,G13)</f>
        <v>12266.199999999997</v>
      </c>
      <c r="H12" s="15"/>
      <c r="J12" s="6"/>
      <c r="K12" s="11"/>
      <c r="M12" s="11"/>
    </row>
    <row r="13" spans="1:13" x14ac:dyDescent="0.3">
      <c r="A13" s="63"/>
      <c r="B13" s="66"/>
      <c r="E13" s="12" t="s">
        <v>12</v>
      </c>
      <c r="F13" s="12" t="s">
        <v>47</v>
      </c>
      <c r="G13" s="15">
        <f>IF($B$6&lt;=40,+$B$19*350*($B$6-10)+4700*$B$19,G14)</f>
        <v>73597.199999999983</v>
      </c>
      <c r="H13" s="15"/>
      <c r="J13" s="6"/>
      <c r="K13" s="11"/>
      <c r="M13" s="11"/>
    </row>
    <row r="14" spans="1:13" x14ac:dyDescent="0.3">
      <c r="A14" s="63"/>
      <c r="B14" s="66"/>
      <c r="E14" s="12" t="s">
        <v>23</v>
      </c>
      <c r="F14" s="12" t="s">
        <v>48</v>
      </c>
      <c r="G14" s="15">
        <f>IF($B$6&lt;=40,+$B$19*300*($B$6-40)+15200*$B$19,G15)</f>
        <v>196259.20000000007</v>
      </c>
      <c r="H14" s="15"/>
      <c r="J14" s="6"/>
      <c r="K14" s="11"/>
      <c r="M14" s="11"/>
    </row>
    <row r="15" spans="1:13" x14ac:dyDescent="0.3">
      <c r="A15" s="63"/>
      <c r="B15" s="66"/>
      <c r="E15" s="12" t="s">
        <v>24</v>
      </c>
      <c r="F15" s="12" t="s">
        <v>49</v>
      </c>
      <c r="G15" s="15">
        <f>IF($B$6&lt;=400,+$B$19*250*($B$6-100)+33200*$B$19,G16)</f>
        <v>502914.20000000019</v>
      </c>
      <c r="H15" s="15"/>
      <c r="J15" s="6"/>
      <c r="K15" s="11"/>
      <c r="M15" s="11"/>
    </row>
    <row r="16" spans="1:13" ht="15" thickBot="1" x14ac:dyDescent="0.35">
      <c r="A16"/>
      <c r="B16"/>
      <c r="E16" s="12" t="s">
        <v>25</v>
      </c>
      <c r="F16" s="12" t="s">
        <v>50</v>
      </c>
      <c r="G16" s="15">
        <f>IF($B$6&gt;400,+$B$19*200*($B$6-400)+108200*$B$19,G18)</f>
        <v>0</v>
      </c>
      <c r="H16" s="15"/>
      <c r="J16" s="6"/>
      <c r="K16" s="11"/>
      <c r="M16" s="11"/>
    </row>
    <row r="17" spans="1:10" ht="15" thickBot="1" x14ac:dyDescent="0.35">
      <c r="A17" s="22" t="s">
        <v>30</v>
      </c>
      <c r="B17" s="23">
        <f>RAIZ!C2</f>
        <v>2024</v>
      </c>
      <c r="E17" s="49"/>
      <c r="F17" s="12"/>
      <c r="G17" s="15"/>
      <c r="H17" s="15"/>
    </row>
    <row r="18" spans="1:10" x14ac:dyDescent="0.3">
      <c r="A18" s="21" t="s">
        <v>26</v>
      </c>
      <c r="B18" s="79">
        <f>+RAIZ!C3</f>
        <v>30.937999999999999</v>
      </c>
      <c r="E18" s="18" t="s">
        <v>137</v>
      </c>
      <c r="F18" s="58"/>
      <c r="G18" s="46"/>
      <c r="H18" s="46"/>
    </row>
    <row r="19" spans="1:10" x14ac:dyDescent="0.3">
      <c r="A19" s="19" t="s">
        <v>9</v>
      </c>
      <c r="B19" s="80">
        <f>+RAIZ!C4</f>
        <v>61.331000000000003</v>
      </c>
      <c r="C19" s="1">
        <f>800*B19*B7</f>
        <v>0</v>
      </c>
      <c r="E19" s="12" t="s">
        <v>36</v>
      </c>
      <c r="F19" s="12" t="s">
        <v>38</v>
      </c>
      <c r="G19" s="15">
        <f>+IF(B7&lt;=2,800*B19*B7,G20)</f>
        <v>0</v>
      </c>
      <c r="H19" s="15">
        <f>+G19</f>
        <v>0</v>
      </c>
    </row>
    <row r="20" spans="1:10" ht="15" thickBot="1" x14ac:dyDescent="0.35">
      <c r="A20" s="20" t="s">
        <v>27</v>
      </c>
      <c r="B20" s="81">
        <f>+RAIZ!C5</f>
        <v>369.07600000000002</v>
      </c>
      <c r="E20" s="12" t="s">
        <v>37</v>
      </c>
      <c r="F20" s="12" t="s">
        <v>42</v>
      </c>
      <c r="G20" s="15">
        <f>+IF($B$7&lt;=8,1600*$B$19+600*$B$19*($B$7-2),G21)</f>
        <v>24532.400000000009</v>
      </c>
      <c r="H20" s="15"/>
    </row>
    <row r="21" spans="1:10" x14ac:dyDescent="0.3">
      <c r="E21" s="12" t="s">
        <v>39</v>
      </c>
      <c r="F21" s="12" t="s">
        <v>43</v>
      </c>
      <c r="G21" s="15">
        <f>+IF($B$7&lt;=20,5200*$B$19+500*$B$19*($B$7-8),G22)</f>
        <v>73597.200000000012</v>
      </c>
      <c r="H21" s="15"/>
    </row>
    <row r="22" spans="1:10" x14ac:dyDescent="0.3">
      <c r="A22" s="1">
        <v>1</v>
      </c>
      <c r="E22" s="12" t="s">
        <v>40</v>
      </c>
      <c r="F22" s="12" t="s">
        <v>44</v>
      </c>
      <c r="G22" s="15">
        <f>+IF($B$7&lt;=50,11200*$B$19+400*$B$19*($B$7-20),G23)</f>
        <v>196259.20000000007</v>
      </c>
      <c r="H22" s="15"/>
    </row>
    <row r="23" spans="1:10" x14ac:dyDescent="0.3">
      <c r="A23" s="1" t="s">
        <v>28</v>
      </c>
      <c r="B23" s="14">
        <f>+RAIZ!C3*1000000</f>
        <v>30938000</v>
      </c>
      <c r="E23" s="12" t="s">
        <v>41</v>
      </c>
      <c r="F23" s="12" t="s">
        <v>45</v>
      </c>
      <c r="G23" s="15">
        <f>+IF($B$7&gt;50,23200*$B$19+300*$B$19*($B$7-50),G24)</f>
        <v>0</v>
      </c>
      <c r="H23" s="15"/>
    </row>
    <row r="24" spans="1:10" x14ac:dyDescent="0.3">
      <c r="A24" s="1" t="s">
        <v>29</v>
      </c>
      <c r="B24" s="14">
        <f>+RAIZ!C3*10000000</f>
        <v>309380000</v>
      </c>
      <c r="E24" s="12" t="s">
        <v>138</v>
      </c>
      <c r="F24" s="12" t="s">
        <v>164</v>
      </c>
      <c r="G24" s="15">
        <f>IF(B8&gt;0,0.3*H19,0)</f>
        <v>0</v>
      </c>
      <c r="H24" s="15">
        <f>+G24</f>
        <v>0</v>
      </c>
      <c r="I24" s="24">
        <f>+H11+H19+H24</f>
        <v>0</v>
      </c>
      <c r="J24" s="1" t="s">
        <v>156</v>
      </c>
    </row>
    <row r="25" spans="1:10" x14ac:dyDescent="0.3">
      <c r="B25" s="14">
        <f>+RAIZ!C3*10000000</f>
        <v>309380000</v>
      </c>
      <c r="E25" s="12"/>
      <c r="F25" s="12"/>
      <c r="G25" s="15"/>
      <c r="H25" s="15"/>
    </row>
    <row r="26" spans="1:10" x14ac:dyDescent="0.3">
      <c r="E26" s="18" t="s">
        <v>139</v>
      </c>
      <c r="F26" s="12"/>
      <c r="G26" s="15"/>
      <c r="H26" s="15"/>
    </row>
    <row r="27" spans="1:10" x14ac:dyDescent="0.3">
      <c r="E27" s="12" t="s">
        <v>143</v>
      </c>
      <c r="F27" s="12" t="s">
        <v>141</v>
      </c>
      <c r="G27" s="15">
        <f>IF(B9&gt;0,0.35*I24,0)</f>
        <v>0</v>
      </c>
      <c r="H27" s="15">
        <f>+G27</f>
        <v>0</v>
      </c>
    </row>
    <row r="28" spans="1:10" x14ac:dyDescent="0.3">
      <c r="E28" s="12" t="s">
        <v>144</v>
      </c>
      <c r="F28" s="12" t="s">
        <v>145</v>
      </c>
      <c r="G28" s="15">
        <f>IF(B10&gt;0,+I24*1,0)</f>
        <v>0</v>
      </c>
      <c r="H28" s="15">
        <f>+G28</f>
        <v>0</v>
      </c>
    </row>
    <row r="29" spans="1:10" x14ac:dyDescent="0.3">
      <c r="E29" s="12"/>
      <c r="F29" s="12"/>
      <c r="G29" s="15"/>
      <c r="H29" s="15"/>
    </row>
    <row r="30" spans="1:10" x14ac:dyDescent="0.3">
      <c r="E30" s="12"/>
      <c r="F30" s="12"/>
      <c r="G30" s="15"/>
      <c r="H30" s="15"/>
    </row>
    <row r="31" spans="1:10" x14ac:dyDescent="0.3">
      <c r="E31" s="12"/>
      <c r="F31" s="12"/>
      <c r="G31" s="15"/>
      <c r="H31" s="15"/>
    </row>
    <row r="32" spans="1:10" x14ac:dyDescent="0.3">
      <c r="G32" s="40"/>
      <c r="H32" s="40"/>
    </row>
    <row r="33" spans="1:8" ht="15" thickBot="1" x14ac:dyDescent="0.35">
      <c r="G33" s="40"/>
      <c r="H33" s="40"/>
    </row>
    <row r="34" spans="1:8" ht="15" thickBot="1" x14ac:dyDescent="0.35">
      <c r="A34" s="63" t="s">
        <v>151</v>
      </c>
      <c r="B34" s="64">
        <v>0.02</v>
      </c>
      <c r="F34" s="54" t="s">
        <v>13</v>
      </c>
      <c r="G34" s="70"/>
      <c r="H34" s="74">
        <f>SUM(H3:H24)</f>
        <v>5692375.4340000004</v>
      </c>
    </row>
    <row r="35" spans="1:8" ht="15" thickBot="1" x14ac:dyDescent="0.35">
      <c r="A35" s="63" t="s">
        <v>170</v>
      </c>
      <c r="B35" s="1">
        <v>15000</v>
      </c>
      <c r="F35" s="47" t="s">
        <v>152</v>
      </c>
      <c r="G35" s="71"/>
      <c r="H35" s="76">
        <f>IF(H34*B34&gt;0,(IF(H34*B34&lt;B35,B35,H34*B34)),0)</f>
        <v>113847.50868000001</v>
      </c>
    </row>
  </sheetData>
  <mergeCells count="4">
    <mergeCell ref="A1:B2"/>
    <mergeCell ref="K7:K11"/>
    <mergeCell ref="M7:M11"/>
    <mergeCell ref="E1:H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8"/>
  <sheetViews>
    <sheetView topLeftCell="A13" workbookViewId="0">
      <selection activeCell="B36" sqref="B36"/>
    </sheetView>
  </sheetViews>
  <sheetFormatPr baseColWidth="10" defaultColWidth="11.5546875" defaultRowHeight="14.4" x14ac:dyDescent="0.3"/>
  <cols>
    <col min="1" max="1" width="34.6640625" style="1" customWidth="1"/>
    <col min="2" max="2" width="15.44140625" style="1" customWidth="1"/>
    <col min="3" max="4" width="11.5546875" style="1"/>
    <col min="5" max="5" width="35.5546875" style="1" customWidth="1"/>
    <col min="6" max="6" width="25" style="1" customWidth="1"/>
    <col min="7" max="7" width="20.6640625" style="14" customWidth="1"/>
    <col min="8" max="8" width="18.44140625" style="14" customWidth="1"/>
    <col min="9" max="9" width="14.44140625" style="1" customWidth="1"/>
    <col min="10" max="15" width="11.5546875" style="1" customWidth="1"/>
    <col min="16" max="16384" width="11.5546875" style="1"/>
  </cols>
  <sheetData>
    <row r="1" spans="1:13" ht="18.600000000000001" thickBot="1" x14ac:dyDescent="0.4">
      <c r="A1" s="86" t="s">
        <v>4</v>
      </c>
      <c r="B1" s="86"/>
      <c r="E1" s="88" t="s">
        <v>13</v>
      </c>
      <c r="F1" s="88"/>
      <c r="G1" s="88"/>
      <c r="H1" s="88"/>
    </row>
    <row r="2" spans="1:13" ht="15" thickBot="1" x14ac:dyDescent="0.35">
      <c r="A2" s="86"/>
      <c r="B2" s="86"/>
      <c r="E2" s="57" t="s">
        <v>15</v>
      </c>
      <c r="F2" s="12" t="s">
        <v>165</v>
      </c>
      <c r="G2" s="15">
        <f>+B4</f>
        <v>0</v>
      </c>
      <c r="H2" s="15"/>
    </row>
    <row r="3" spans="1:13" ht="15" thickBot="1" x14ac:dyDescent="0.35">
      <c r="A3" s="2" t="s">
        <v>34</v>
      </c>
      <c r="B3" s="7"/>
      <c r="E3" s="12" t="s">
        <v>58</v>
      </c>
      <c r="F3" s="50" t="s">
        <v>146</v>
      </c>
      <c r="G3" s="51">
        <f>IF($G$2&lt;=$B$23,0.4%*$G$2,G4)</f>
        <v>0</v>
      </c>
      <c r="H3" s="15">
        <f>+G3</f>
        <v>0</v>
      </c>
    </row>
    <row r="4" spans="1:13" ht="15" thickBot="1" x14ac:dyDescent="0.35">
      <c r="A4" s="2" t="s">
        <v>14</v>
      </c>
      <c r="B4" s="7"/>
      <c r="E4" s="12" t="s">
        <v>17</v>
      </c>
      <c r="F4" s="12" t="s">
        <v>18</v>
      </c>
      <c r="G4" s="15">
        <f>IF($G$2&lt;=B24,1%*$G$2+$B$19*4000,H5)</f>
        <v>245324</v>
      </c>
      <c r="H4" s="15"/>
    </row>
    <row r="5" spans="1:13" ht="15" thickBot="1" x14ac:dyDescent="0.35">
      <c r="A5" s="2" t="s">
        <v>31</v>
      </c>
      <c r="B5" s="7"/>
      <c r="E5" s="12" t="s">
        <v>19</v>
      </c>
      <c r="F5" s="12" t="s">
        <v>20</v>
      </c>
      <c r="G5" s="15">
        <f>IF($H$2&gt;A24,0.5%*$H$2+105000*A18,0)</f>
        <v>0</v>
      </c>
      <c r="H5" s="15"/>
    </row>
    <row r="6" spans="1:13" ht="15" thickBot="1" x14ac:dyDescent="0.35">
      <c r="A6" s="2" t="s">
        <v>5</v>
      </c>
      <c r="B6" s="7"/>
      <c r="E6" s="18" t="s">
        <v>21</v>
      </c>
      <c r="F6" s="12" t="s">
        <v>157</v>
      </c>
      <c r="G6" s="15">
        <f>(3000*B18+5*B5)*B19</f>
        <v>5692375.4340000004</v>
      </c>
      <c r="H6" s="15">
        <f>+G6</f>
        <v>5692375.4340000004</v>
      </c>
    </row>
    <row r="7" spans="1:13" ht="15" thickBot="1" x14ac:dyDescent="0.35">
      <c r="A7" s="2" t="s">
        <v>35</v>
      </c>
      <c r="B7" s="9"/>
      <c r="E7" s="49" t="s">
        <v>33</v>
      </c>
      <c r="F7" s="49" t="s">
        <v>32</v>
      </c>
      <c r="G7" s="46">
        <f>50*B19*B3</f>
        <v>0</v>
      </c>
      <c r="H7" s="46">
        <f>+G7</f>
        <v>0</v>
      </c>
      <c r="I7" s="1" t="s">
        <v>167</v>
      </c>
      <c r="K7" s="87"/>
      <c r="M7" s="87"/>
    </row>
    <row r="8" spans="1:13" ht="15" thickBot="1" x14ac:dyDescent="0.35">
      <c r="A8" s="2" t="s">
        <v>134</v>
      </c>
      <c r="B8" s="9"/>
      <c r="E8" s="12"/>
      <c r="F8" s="12"/>
      <c r="G8" s="15"/>
      <c r="H8" s="15"/>
      <c r="K8" s="87"/>
      <c r="M8" s="87"/>
    </row>
    <row r="9" spans="1:13" ht="15" thickBot="1" x14ac:dyDescent="0.35">
      <c r="A9" s="2" t="s">
        <v>140</v>
      </c>
      <c r="B9" s="9"/>
      <c r="E9" s="59" t="s">
        <v>135</v>
      </c>
      <c r="F9" s="56"/>
      <c r="G9" s="69"/>
      <c r="H9" s="56"/>
      <c r="K9" s="87"/>
      <c r="M9" s="87"/>
    </row>
    <row r="10" spans="1:13" ht="15" thickBot="1" x14ac:dyDescent="0.35">
      <c r="A10" s="2" t="s">
        <v>142</v>
      </c>
      <c r="B10" s="9"/>
      <c r="E10" s="56" t="s">
        <v>136</v>
      </c>
      <c r="F10" s="50"/>
      <c r="G10" s="51"/>
      <c r="H10" s="51"/>
      <c r="K10" s="87"/>
      <c r="M10" s="87"/>
    </row>
    <row r="11" spans="1:13" ht="15" thickBot="1" x14ac:dyDescent="0.35">
      <c r="A11" s="2" t="s">
        <v>3</v>
      </c>
      <c r="B11" s="10">
        <f>+H35</f>
        <v>113847.50868000001</v>
      </c>
      <c r="E11" s="12" t="s">
        <v>10</v>
      </c>
      <c r="F11" s="12" t="s">
        <v>22</v>
      </c>
      <c r="G11" s="15">
        <f>IF($B$6&lt;=4,+$B$6*$B$19*500,G12)</f>
        <v>0</v>
      </c>
      <c r="H11" s="15">
        <f>+G11</f>
        <v>0</v>
      </c>
      <c r="J11" s="6"/>
      <c r="K11" s="87"/>
      <c r="M11" s="87"/>
    </row>
    <row r="12" spans="1:13" x14ac:dyDescent="0.3">
      <c r="E12" s="12" t="s">
        <v>11</v>
      </c>
      <c r="F12" s="12" t="s">
        <v>46</v>
      </c>
      <c r="G12" s="15">
        <f>IF($B$6&lt;=10,+$B$19*450*($B$6-4)+2000*$B$19,G13)</f>
        <v>12266.199999999997</v>
      </c>
      <c r="H12" s="15"/>
      <c r="J12" s="6"/>
      <c r="K12" s="11"/>
      <c r="M12" s="11"/>
    </row>
    <row r="13" spans="1:13" x14ac:dyDescent="0.3">
      <c r="A13" s="63"/>
      <c r="B13" s="66"/>
      <c r="E13" s="12" t="s">
        <v>12</v>
      </c>
      <c r="F13" s="12" t="s">
        <v>47</v>
      </c>
      <c r="G13" s="15">
        <f>IF($B$6&lt;=40,+$B$19*350*($B$6-10)+4700*$B$19,G14)</f>
        <v>73597.199999999983</v>
      </c>
      <c r="H13" s="15"/>
      <c r="J13" s="6"/>
      <c r="K13" s="11"/>
      <c r="M13" s="11"/>
    </row>
    <row r="14" spans="1:13" x14ac:dyDescent="0.3">
      <c r="A14" s="63"/>
      <c r="B14" s="66"/>
      <c r="E14" s="12" t="s">
        <v>23</v>
      </c>
      <c r="F14" s="12" t="s">
        <v>48</v>
      </c>
      <c r="G14" s="15">
        <f>IF($B$6&lt;=40,+$B$19*300*($B$6-40)+15200*$B$19,G15)</f>
        <v>196259.20000000007</v>
      </c>
      <c r="H14" s="15"/>
      <c r="J14" s="6"/>
      <c r="K14" s="11"/>
      <c r="M14" s="11"/>
    </row>
    <row r="15" spans="1:13" x14ac:dyDescent="0.3">
      <c r="A15" s="63"/>
      <c r="B15" s="66"/>
      <c r="E15" s="12" t="s">
        <v>24</v>
      </c>
      <c r="F15" s="12" t="s">
        <v>49</v>
      </c>
      <c r="G15" s="15">
        <f>IF($B$6&lt;=400,+$B$19*250*($B$6-100)+33200*$B$19,G16)</f>
        <v>502914.20000000019</v>
      </c>
      <c r="H15" s="15"/>
      <c r="J15" s="6"/>
      <c r="K15" s="11"/>
      <c r="M15" s="11"/>
    </row>
    <row r="16" spans="1:13" ht="15" thickBot="1" x14ac:dyDescent="0.35">
      <c r="A16" t="s">
        <v>168</v>
      </c>
      <c r="B16"/>
      <c r="E16" s="12" t="s">
        <v>25</v>
      </c>
      <c r="F16" s="12" t="s">
        <v>50</v>
      </c>
      <c r="G16" s="15">
        <f>IF($B$6&gt;400,+$B$19*200*($B$6-400)+108200*$B$19,G18)</f>
        <v>0</v>
      </c>
      <c r="H16" s="15"/>
      <c r="J16" s="6"/>
      <c r="K16" s="11"/>
      <c r="M16" s="11"/>
    </row>
    <row r="17" spans="1:9" ht="15" thickBot="1" x14ac:dyDescent="0.35">
      <c r="A17" s="22" t="s">
        <v>30</v>
      </c>
      <c r="B17" s="23">
        <f>RAIZ!C2</f>
        <v>2024</v>
      </c>
      <c r="E17" s="49"/>
      <c r="F17" s="12"/>
      <c r="G17" s="15"/>
      <c r="H17" s="15"/>
    </row>
    <row r="18" spans="1:9" x14ac:dyDescent="0.3">
      <c r="A18" s="21" t="s">
        <v>26</v>
      </c>
      <c r="B18" s="79">
        <f>+RAIZ!C3</f>
        <v>30.937999999999999</v>
      </c>
      <c r="E18" s="18" t="s">
        <v>137</v>
      </c>
      <c r="F18" s="58"/>
      <c r="G18" s="46"/>
      <c r="H18" s="46"/>
    </row>
    <row r="19" spans="1:9" x14ac:dyDescent="0.3">
      <c r="A19" s="19" t="s">
        <v>9</v>
      </c>
      <c r="B19" s="80">
        <f>+RAIZ!C4</f>
        <v>61.331000000000003</v>
      </c>
      <c r="E19" s="12" t="s">
        <v>36</v>
      </c>
      <c r="F19" s="12" t="s">
        <v>38</v>
      </c>
      <c r="G19" s="15">
        <f>+IF(B7&lt;=2,800*B19*B7,G20)</f>
        <v>0</v>
      </c>
      <c r="H19" s="15">
        <f>+G19</f>
        <v>0</v>
      </c>
    </row>
    <row r="20" spans="1:9" ht="15" thickBot="1" x14ac:dyDescent="0.35">
      <c r="A20" s="20" t="s">
        <v>27</v>
      </c>
      <c r="B20" s="81">
        <f>+RAIZ!C5</f>
        <v>369.07600000000002</v>
      </c>
      <c r="E20" s="12" t="s">
        <v>37</v>
      </c>
      <c r="F20" s="12" t="s">
        <v>42</v>
      </c>
      <c r="G20" s="15">
        <f>+IF($B$7&lt;=8,1600*$B$19+600*$B$19*($B$7-2),G21)</f>
        <v>24532.400000000009</v>
      </c>
      <c r="H20" s="15"/>
    </row>
    <row r="21" spans="1:9" x14ac:dyDescent="0.3">
      <c r="E21" s="12" t="s">
        <v>39</v>
      </c>
      <c r="F21" s="12" t="s">
        <v>43</v>
      </c>
      <c r="G21" s="15">
        <f>+IF($B$7&lt;=20,5200*$B$19+500*$B$19*($B$7-8),G22)</f>
        <v>73597.200000000012</v>
      </c>
      <c r="H21" s="15"/>
    </row>
    <row r="22" spans="1:9" x14ac:dyDescent="0.3">
      <c r="A22" s="1">
        <v>1</v>
      </c>
      <c r="E22" s="12" t="s">
        <v>40</v>
      </c>
      <c r="F22" s="12" t="s">
        <v>44</v>
      </c>
      <c r="G22" s="15">
        <f>+IF($B$7&lt;=50,11200*$B$19+400*$B$19*($B$7-20),G23)</f>
        <v>196259.20000000007</v>
      </c>
      <c r="H22" s="15"/>
    </row>
    <row r="23" spans="1:9" x14ac:dyDescent="0.3">
      <c r="A23" s="1" t="s">
        <v>28</v>
      </c>
      <c r="B23" s="14">
        <f>+RAIZ!C3*1000000</f>
        <v>30938000</v>
      </c>
      <c r="E23" s="12" t="s">
        <v>41</v>
      </c>
      <c r="F23" s="12" t="s">
        <v>45</v>
      </c>
      <c r="G23" s="15">
        <f>+IF($B$7&gt;50,23200*$B$19+300*$B$19*($B$7-50),G24)</f>
        <v>0</v>
      </c>
      <c r="H23" s="15"/>
    </row>
    <row r="24" spans="1:9" x14ac:dyDescent="0.3">
      <c r="A24" s="1" t="s">
        <v>29</v>
      </c>
      <c r="B24" s="14">
        <f>+RAIZ!C3*10000000</f>
        <v>309380000</v>
      </c>
      <c r="E24" s="12" t="s">
        <v>138</v>
      </c>
      <c r="F24" s="12"/>
      <c r="G24" s="15">
        <f>IF(B8&gt;0,0.3*I24,0)</f>
        <v>0</v>
      </c>
      <c r="H24" s="15">
        <f>+G24</f>
        <v>0</v>
      </c>
      <c r="I24" s="24">
        <f>+H11+H19+H7+H6</f>
        <v>5692375.4340000004</v>
      </c>
    </row>
    <row r="25" spans="1:9" x14ac:dyDescent="0.3">
      <c r="B25" s="14">
        <f>+RAIZ!C3*10000000</f>
        <v>309380000</v>
      </c>
      <c r="E25" s="12"/>
      <c r="F25" s="12"/>
      <c r="G25" s="15"/>
      <c r="H25" s="15"/>
    </row>
    <row r="26" spans="1:9" x14ac:dyDescent="0.3">
      <c r="E26" s="18" t="s">
        <v>139</v>
      </c>
      <c r="F26" s="12"/>
      <c r="G26" s="15"/>
      <c r="H26" s="15"/>
    </row>
    <row r="27" spans="1:9" x14ac:dyDescent="0.3">
      <c r="E27" s="12" t="s">
        <v>143</v>
      </c>
      <c r="F27" s="12" t="s">
        <v>141</v>
      </c>
      <c r="G27" s="15">
        <f>IF(B9&gt;0,0.35*I24,0)</f>
        <v>0</v>
      </c>
      <c r="H27" s="15">
        <f>+G27</f>
        <v>0</v>
      </c>
    </row>
    <row r="28" spans="1:9" x14ac:dyDescent="0.3">
      <c r="E28" s="12" t="s">
        <v>144</v>
      </c>
      <c r="F28" s="12" t="s">
        <v>145</v>
      </c>
      <c r="G28" s="15">
        <f>IF(B10&gt;0,+I24*1,0)</f>
        <v>0</v>
      </c>
      <c r="H28" s="15">
        <f>+G28</f>
        <v>0</v>
      </c>
    </row>
    <row r="29" spans="1:9" x14ac:dyDescent="0.3">
      <c r="E29" s="12"/>
      <c r="F29" s="12"/>
      <c r="G29" s="15"/>
      <c r="H29" s="15"/>
    </row>
    <row r="30" spans="1:9" x14ac:dyDescent="0.3">
      <c r="E30" s="12"/>
      <c r="F30" s="12"/>
      <c r="G30" s="15"/>
      <c r="H30" s="15"/>
    </row>
    <row r="31" spans="1:9" x14ac:dyDescent="0.3">
      <c r="E31" s="12"/>
      <c r="F31" s="12"/>
      <c r="G31" s="15"/>
      <c r="H31" s="15"/>
    </row>
    <row r="32" spans="1:9" x14ac:dyDescent="0.3">
      <c r="G32" s="40"/>
      <c r="H32" s="40"/>
    </row>
    <row r="33" spans="1:8" ht="15" thickBot="1" x14ac:dyDescent="0.35">
      <c r="G33" s="40"/>
      <c r="H33" s="40"/>
    </row>
    <row r="34" spans="1:8" ht="15" thickBot="1" x14ac:dyDescent="0.35">
      <c r="A34" s="63" t="s">
        <v>151</v>
      </c>
      <c r="B34" s="64">
        <v>0.02</v>
      </c>
      <c r="F34" s="54" t="s">
        <v>13</v>
      </c>
      <c r="G34" s="72"/>
      <c r="H34" s="74">
        <f>SUM(H3:H24)</f>
        <v>5692375.4340000004</v>
      </c>
    </row>
    <row r="35" spans="1:8" ht="15" thickBot="1" x14ac:dyDescent="0.35">
      <c r="A35" s="63" t="s">
        <v>170</v>
      </c>
      <c r="B35" s="1">
        <v>15000</v>
      </c>
      <c r="F35" s="47" t="s">
        <v>3</v>
      </c>
      <c r="G35" s="73"/>
      <c r="H35" s="75">
        <f>IF(H34*B34&gt;0,(IF(H34*B34&lt;B35,B35,H34*B34)),0)</f>
        <v>113847.50868000001</v>
      </c>
    </row>
    <row r="37" spans="1:8" x14ac:dyDescent="0.3">
      <c r="G37" s="1"/>
      <c r="H37" s="1"/>
    </row>
    <row r="38" spans="1:8" x14ac:dyDescent="0.3">
      <c r="G38" s="1"/>
      <c r="H38" s="1"/>
    </row>
  </sheetData>
  <mergeCells count="4">
    <mergeCell ref="A1:B2"/>
    <mergeCell ref="E1:H1"/>
    <mergeCell ref="K7:K11"/>
    <mergeCell ref="M7:M11"/>
  </mergeCells>
  <pageMargins left="0.7" right="0.7" top="0.75" bottom="0.75" header="0.51180555555555551" footer="0.51180555555555551"/>
  <pageSetup firstPageNumber="0"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tabSelected="1" workbookViewId="0">
      <selection activeCell="B15" sqref="B15"/>
    </sheetView>
  </sheetViews>
  <sheetFormatPr baseColWidth="10" defaultColWidth="11.5546875" defaultRowHeight="14.4" x14ac:dyDescent="0.3"/>
  <cols>
    <col min="1" max="1" width="20.88671875" style="1" customWidth="1"/>
    <col min="2" max="2" width="13.6640625" style="1" customWidth="1"/>
    <col min="3" max="6" width="11.5546875" style="1"/>
    <col min="7" max="7" width="11.5546875" style="1" customWidth="1"/>
    <col min="8" max="8" width="34.88671875" style="1" customWidth="1"/>
    <col min="9" max="14" width="11.5546875" style="1" customWidth="1"/>
    <col min="15" max="16384" width="11.5546875" style="1"/>
  </cols>
  <sheetData>
    <row r="1" spans="1:11" x14ac:dyDescent="0.3">
      <c r="A1" s="89" t="s">
        <v>6</v>
      </c>
      <c r="B1" s="89"/>
    </row>
    <row r="2" spans="1:11" x14ac:dyDescent="0.3">
      <c r="A2" s="89"/>
      <c r="B2" s="89"/>
    </row>
    <row r="4" spans="1:11" ht="15" thickBot="1" x14ac:dyDescent="0.35">
      <c r="A4" s="2" t="s">
        <v>7</v>
      </c>
      <c r="B4" s="7"/>
      <c r="H4" s="12" t="s">
        <v>96</v>
      </c>
      <c r="I4" s="12" t="s">
        <v>169</v>
      </c>
      <c r="J4" s="26">
        <f>+K4</f>
        <v>0</v>
      </c>
      <c r="K4" s="15">
        <f>+B4*390*B10</f>
        <v>0</v>
      </c>
    </row>
    <row r="5" spans="1:11" ht="15" thickBot="1" x14ac:dyDescent="0.35">
      <c r="A5" s="2" t="s">
        <v>8</v>
      </c>
      <c r="B5" s="9"/>
      <c r="C5" s="1" t="s">
        <v>159</v>
      </c>
    </row>
    <row r="6" spans="1:11" ht="15" thickBot="1" x14ac:dyDescent="0.35">
      <c r="A6" s="2" t="s">
        <v>3</v>
      </c>
      <c r="B6" s="8">
        <f>+J14</f>
        <v>0</v>
      </c>
    </row>
    <row r="7" spans="1:11" ht="15" thickBot="1" x14ac:dyDescent="0.35"/>
    <row r="8" spans="1:11" ht="15" thickBot="1" x14ac:dyDescent="0.35">
      <c r="A8" s="22" t="s">
        <v>30</v>
      </c>
      <c r="B8" s="23">
        <f>RAIZ!C2</f>
        <v>2024</v>
      </c>
    </row>
    <row r="9" spans="1:11" x14ac:dyDescent="0.3">
      <c r="A9" s="21" t="s">
        <v>26</v>
      </c>
      <c r="B9" s="79">
        <f>+RAIZ!C3</f>
        <v>30.937999999999999</v>
      </c>
      <c r="I9" s="6"/>
    </row>
    <row r="10" spans="1:11" x14ac:dyDescent="0.3">
      <c r="A10" s="19" t="s">
        <v>9</v>
      </c>
      <c r="B10" s="79">
        <f>+RAIZ!C4</f>
        <v>61.331000000000003</v>
      </c>
    </row>
    <row r="11" spans="1:11" ht="15" thickBot="1" x14ac:dyDescent="0.35">
      <c r="A11" s="20" t="s">
        <v>27</v>
      </c>
      <c r="B11" s="79">
        <f>+RAIZ!C5</f>
        <v>369.07600000000002</v>
      </c>
    </row>
    <row r="13" spans="1:11" x14ac:dyDescent="0.3">
      <c r="A13" s="63" t="s">
        <v>151</v>
      </c>
      <c r="B13" s="64">
        <v>0.02</v>
      </c>
      <c r="H13" s="1" t="s">
        <v>13</v>
      </c>
      <c r="J13" s="74">
        <f>SUM(J4)</f>
        <v>0</v>
      </c>
    </row>
    <row r="14" spans="1:11" x14ac:dyDescent="0.3">
      <c r="A14" s="63" t="s">
        <v>170</v>
      </c>
      <c r="B14" s="1">
        <v>15000</v>
      </c>
      <c r="H14" s="1" t="s">
        <v>3</v>
      </c>
      <c r="J14" s="75">
        <f>IF(J13*B13&gt;0,(IF(J13*B13&lt;B14,B14,J13*B13)),0)</f>
        <v>0</v>
      </c>
    </row>
  </sheetData>
  <mergeCells count="1">
    <mergeCell ref="A1:B2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RAIZ</vt:lpstr>
      <vt:lpstr>CAMPOS</vt:lpstr>
      <vt:lpstr>CHACRAS E ISLAS SIN RIEGO</vt:lpstr>
      <vt:lpstr>CHACRAS E ISLAS CON RIEGO </vt:lpstr>
      <vt:lpstr>MENSURAS </vt:lpstr>
      <vt:lpstr>PH</vt:lpstr>
      <vt:lpstr>SERVIDUMBRES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</dc:creator>
  <cp:lastModifiedBy>administracion</cp:lastModifiedBy>
  <dcterms:created xsi:type="dcterms:W3CDTF">2016-12-28T11:20:53Z</dcterms:created>
  <dcterms:modified xsi:type="dcterms:W3CDTF">2023-12-26T17:08:28Z</dcterms:modified>
</cp:coreProperties>
</file>