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95" windowHeight="5835" activeTab="0"/>
  </bookViews>
  <sheets>
    <sheet name="Datos Resultado " sheetId="1" r:id="rId1"/>
    <sheet name="Cálculo" sheetId="2" r:id="rId2"/>
  </sheets>
  <definedNames/>
  <calcPr fullCalcOnLoad="1"/>
</workbook>
</file>

<file path=xl/sharedStrings.xml><?xml version="1.0" encoding="utf-8"?>
<sst xmlns="http://schemas.openxmlformats.org/spreadsheetml/2006/main" count="763" uniqueCount="210">
  <si>
    <t>K2=</t>
  </si>
  <si>
    <t xml:space="preserve">K1= </t>
  </si>
  <si>
    <t>K3=</t>
  </si>
  <si>
    <t>Hasta 1.000.000 K1</t>
  </si>
  <si>
    <t>de      1.000.000 K1</t>
  </si>
  <si>
    <t>Hasta 10.000.000 K1</t>
  </si>
  <si>
    <t>de      10.000.000 K1</t>
  </si>
  <si>
    <t>Hasta 100.000.000 K1</t>
  </si>
  <si>
    <t>más de      100.000.000 K1</t>
  </si>
  <si>
    <t>Categoría Obra</t>
  </si>
  <si>
    <t>1a</t>
  </si>
  <si>
    <t>2a</t>
  </si>
  <si>
    <t>3a</t>
  </si>
  <si>
    <t>4a</t>
  </si>
  <si>
    <t>5a</t>
  </si>
  <si>
    <t>Croquis Preliminares</t>
  </si>
  <si>
    <t>Croquis Preliminares y Anteproyecto</t>
  </si>
  <si>
    <t>Croquis Preliminares, Anteproyecto y Proyecto</t>
  </si>
  <si>
    <t>Dirección de Obra</t>
  </si>
  <si>
    <t>Proyecto y Dirección</t>
  </si>
  <si>
    <t>Honorarios</t>
  </si>
  <si>
    <t>Valor Bienes</t>
  </si>
  <si>
    <t>Porcentajes Acumulativos</t>
  </si>
  <si>
    <t>Por día de Viaje</t>
  </si>
  <si>
    <t>Por día de Gabinete</t>
  </si>
  <si>
    <t>Por día de Trabajo en el Terreno</t>
  </si>
  <si>
    <t>a) En un radio de hasta 30 Km</t>
  </si>
  <si>
    <t>Primeros 10 días</t>
  </si>
  <si>
    <t>Días Subsiguientes</t>
  </si>
  <si>
    <t>b) En un radio de más de 30 Km</t>
  </si>
  <si>
    <t>1850 K2</t>
  </si>
  <si>
    <t>2250 K2</t>
  </si>
  <si>
    <t>1200 K2</t>
  </si>
  <si>
    <t>1500 K2</t>
  </si>
  <si>
    <t>750 K2</t>
  </si>
  <si>
    <t>Tiempo Empleado</t>
  </si>
  <si>
    <t>Días de Viaje</t>
  </si>
  <si>
    <t>Dias de Gabinete</t>
  </si>
  <si>
    <t>Días de Trabajo en el Terreno</t>
  </si>
  <si>
    <t>Datos para el Cálculo de Honorarios</t>
  </si>
  <si>
    <t>Honorario Mínimo</t>
  </si>
  <si>
    <t>250 K2</t>
  </si>
  <si>
    <t>Parte Proporcional al Valor en Juego de los Bienes a Inspeccionar o Ensayar</t>
  </si>
  <si>
    <t>Parte de acuerdo con el Tiempo Empleado por el Profesional</t>
  </si>
  <si>
    <t>Total Honorarios por Inspección o Ensayo</t>
  </si>
  <si>
    <t>HONORARIOS POR INSPECCIONES Y ENSAYOS ELECTROMECANICOS (Art 88 )</t>
  </si>
  <si>
    <t>Bienes que, por su naturaleza o función, se encuentren comprendidos dentro de las especialidades</t>
  </si>
  <si>
    <t>Hasta 500.000 K1</t>
  </si>
  <si>
    <t>de      500.000 K1</t>
  </si>
  <si>
    <t>Hasta 5.000.000 K1</t>
  </si>
  <si>
    <t>más de      5.000.000 K1</t>
  </si>
  <si>
    <t>Valor de Tasación</t>
  </si>
  <si>
    <t>Para tasación del daño sufrido por una cosa comparando los valores de la cosa dañada anteriormente al siniestro</t>
  </si>
  <si>
    <t>4000K2</t>
  </si>
  <si>
    <t>Hasta 1000.000 K1</t>
  </si>
  <si>
    <t>de      1000.000 K1</t>
  </si>
  <si>
    <t>Estimativas</t>
  </si>
  <si>
    <t>Ordinarias</t>
  </si>
  <si>
    <t>Extraordinarias</t>
  </si>
  <si>
    <t>500K2</t>
  </si>
  <si>
    <t>1500K2</t>
  </si>
  <si>
    <t>1000K2</t>
  </si>
  <si>
    <t>de las ingenierías de electricistas, mecánica, industrial y electrónica</t>
  </si>
  <si>
    <t>o inmediatamente después del mismo: Valor de la cosa tasada antes de siniestro más un 25%</t>
  </si>
  <si>
    <t xml:space="preserve">Valor de Tasación </t>
  </si>
  <si>
    <t>Honorario por tasación de daño</t>
  </si>
  <si>
    <t>Tasación Estimativa</t>
  </si>
  <si>
    <t>Tasación Ordinaria</t>
  </si>
  <si>
    <t>Tasación Extraordinaria</t>
  </si>
  <si>
    <t>La determinación de honorarios por Art. 96 y 97, no excluye la adición en la determinación del honorario final de los Art.</t>
  </si>
  <si>
    <t>98,99,100,101,102 y 103,  conforme a la tarea encomendada al profesional.</t>
  </si>
  <si>
    <t>PERICIAS - ARBITRAJES Y ASISTENCIAS TECNICAS (Art 104)</t>
  </si>
  <si>
    <t>300K2</t>
  </si>
  <si>
    <t>del lugar de su domicilio:</t>
  </si>
  <si>
    <t>1) Parte del honorario relacionada con la "importancia y extensión de los cuestionarios y grado de</t>
  </si>
  <si>
    <t>responsabilidad de impliquen, esta parte será convencional"</t>
  </si>
  <si>
    <t>2) Parte del honorario relacionada con el valor del bien o la cosa</t>
  </si>
  <si>
    <t>Valor del Bien o la Cosa</t>
  </si>
  <si>
    <t>Hasta 2.000.000 K1</t>
  </si>
  <si>
    <t>de      2.000.000 K1</t>
  </si>
  <si>
    <t>Parte del Honorario relacionado con el valor del Bien o la cosa</t>
  </si>
  <si>
    <t>3) Parte proporcional al tiempo empleado en viajes, de acuerdo al Art 6º</t>
  </si>
  <si>
    <t>Suma 1) 2) 3)</t>
  </si>
  <si>
    <t>El total de los Honorarios surgirá como suma de los conceptos 1) 2) y 3)</t>
  </si>
  <si>
    <t>Total Honorario por Estudio</t>
  </si>
  <si>
    <t>El total de los Honorarios surgirá como suma de los conceptos 1) y 2)</t>
  </si>
  <si>
    <t>El profesional Consultor recibirá el 10 % de los honorarios que pudieran corresponder  a la tarea que</t>
  </si>
  <si>
    <t>constituya el objeto de la consulta</t>
  </si>
  <si>
    <t>Valor de la Obra</t>
  </si>
  <si>
    <t>Parte del Honorario relacionado con el valor de la Obra</t>
  </si>
  <si>
    <t>Hasta 50.000 K1</t>
  </si>
  <si>
    <t>de      50.000 K1</t>
  </si>
  <si>
    <t>Hasta 200.000 K1</t>
  </si>
  <si>
    <t>más de      200.000 K1</t>
  </si>
  <si>
    <t>Honorario por Representación Técnica relacionado con el valor del Bien</t>
  </si>
  <si>
    <t>Representación Técnica, Tareas Parciales ( Art 113)</t>
  </si>
  <si>
    <t xml:space="preserve">a) Estudio del Pliego y documentación de la obra </t>
  </si>
  <si>
    <t>Honorario por Estudio Pliego</t>
  </si>
  <si>
    <t>b) Presentación de la propuesta con su firma</t>
  </si>
  <si>
    <t>Honorario por presentación de propuesta con su firma</t>
  </si>
  <si>
    <t>c) Estudio de las propuestas presentadas, observaciones y/o impugnaciones y</t>
  </si>
  <si>
    <t>trámites hasta la adjudicación</t>
  </si>
  <si>
    <t>Honorario Mínimo: 500 K2</t>
  </si>
  <si>
    <t>CALCULO DE HONORARIOS OBRA DE INGENIERIA</t>
  </si>
  <si>
    <t>REPRESENTACION TECNICA EMPRESAS PROVEEDORAS DE EQUIPOS, MAQUINAS Y MATERIALES(Art 110,112 Y 113)</t>
  </si>
  <si>
    <t>Carga</t>
  </si>
  <si>
    <t>Monto Obra</t>
  </si>
  <si>
    <t>Obtiene</t>
  </si>
  <si>
    <t xml:space="preserve">Monto Aporte </t>
  </si>
  <si>
    <t>Monto Honorarios</t>
  </si>
  <si>
    <t>Valor de los Bienes</t>
  </si>
  <si>
    <t>Tiempo empleado en la realización del Trabajo</t>
  </si>
  <si>
    <t>Dias de Trabajo en Gabinete</t>
  </si>
  <si>
    <t>Días de Trabajo en el Terreno en un radio de hasta 30 Km</t>
  </si>
  <si>
    <t>Días de Trabajo en el Terreno en un radio de más de 30 Km</t>
  </si>
  <si>
    <t>TASACIÓN DE DAÑOS CON COMPARACION DE VALOR ANTES Y DESPUES DEL SINIESTRO (Art 96 y 97)</t>
  </si>
  <si>
    <t xml:space="preserve">Valor de la cosa tasada antes del siniestro </t>
  </si>
  <si>
    <t>Valor de la cosa tasada antes del siniestro más 25%</t>
  </si>
  <si>
    <t>Porcentaje de Aporte</t>
  </si>
  <si>
    <t>Categoría (Clasificación de las Obras de Ingeniería Art 85)</t>
  </si>
  <si>
    <t>Monto Aporte</t>
  </si>
  <si>
    <t>Valor de Tasado del Daño</t>
  </si>
  <si>
    <t>TASACIÓN DE BIENES (Art 97)</t>
  </si>
  <si>
    <t>Valor de Tasación del Bien</t>
  </si>
  <si>
    <t>Valor Tasado del Daño</t>
  </si>
  <si>
    <t>Honorario por Tasación  de Bienes</t>
  </si>
  <si>
    <t>Honorario Mínimo Consulta sin inspección ocular</t>
  </si>
  <si>
    <t>Honorario Mínimo Consulta con inspección ocular y siempre que el profesional no tenga que salir</t>
  </si>
  <si>
    <t>Consulta con inspección ocular fuera del lugar de su domicilio</t>
  </si>
  <si>
    <t>Honorario Mínimo Consulta con inspección ocular fuera del lugar de domicilio del profesional</t>
  </si>
  <si>
    <t>CONSULTAS (Art 104 y 105)</t>
  </si>
  <si>
    <t>Consulta sin inspección ocular en el lugar del domicilio del profesional</t>
  </si>
  <si>
    <t>Consulta con inspección ocular en el lugar del domicilio del profesional</t>
  </si>
  <si>
    <t>Días de Viaje Art 6</t>
  </si>
  <si>
    <t>honorario convenido por"importancia y extensión de</t>
  </si>
  <si>
    <t>los cuestionarios y grado de responsabilidad de</t>
  </si>
  <si>
    <t>impliquen"</t>
  </si>
  <si>
    <t>ESTUDIOS TECNICOS, ESTUDIOS ECONOMICOS FINANCIEROS Y ESTUDIOS TECNICO LEGALES,ETC (ART 104 y106)</t>
  </si>
  <si>
    <t>ARBITRAJES SOBRE DAÑOS CON COMPARACION DE VALOR ANTES Y DESPUES DEL SINIESTRO(Art 104 y 107)</t>
  </si>
  <si>
    <t>ARBITRAJES SOBRE DAÑOS CON APRECIACION DIRECTA DEL DAÑO( 104 y 107)</t>
  </si>
  <si>
    <t>ARBITRAJES SOBRE BIENES O COSAS( 104 y 107)</t>
  </si>
  <si>
    <t>Valor Tasado del Bien o la Cosa</t>
  </si>
  <si>
    <t>ASISTENCIAS TECNICAS (Art 104 y 108)</t>
  </si>
  <si>
    <t>Honorario que pudiera corresponder por el objeto de la Consulta</t>
  </si>
  <si>
    <t>10 % del honorario que pudiera corresponder por el objeto de la Consulta</t>
  </si>
  <si>
    <t>REPRESENTACION TECNICA EJECUCION DE OBRAS SIN OBLIGACION DE PERMANENCIA EN OBRA(Art 110, 111 Y 113)</t>
  </si>
  <si>
    <t>REPRESENTACION TECNICA EJECUCION DE OBRAS CON OBLIGACION DE PERMANENCIA EN</t>
  </si>
  <si>
    <t>OBRA JORNADAS DIARIAS MENORES A CUATRO HORAS(Art 110, 111 Y 113)</t>
  </si>
  <si>
    <t>REPRESENTACION TECNICA EJECUCION DE OBRAS CON DEDICACION EXCLUSIVA(Art 110, 111 Y 113</t>
  </si>
  <si>
    <t>REPRESENTACION TECNICA EJECUCION DE OBRAS - ESTUDIO DE PLIEGO Y DOCUMENTACION DE OBRA (Art 110, 111 Y 113</t>
  </si>
  <si>
    <t>REPRESENTACION TECNICA EJECUCION DE OBRAS - PRESENTACION PROPUESTA CON SU FIRMA (Art 110, 111 Y 113</t>
  </si>
  <si>
    <t>REPRESENTACION TECNICA EJECUCION DE OBRAS - ESTUDIO DE LAS PROPUESTAS</t>
  </si>
  <si>
    <t>PRESENTADA, OBSERVACIONES Y/O IMPUGNACIONES Y TRAMITES HASTA LA</t>
  </si>
  <si>
    <t>ADJUDICACION (Art 110, 111 Y 113)</t>
  </si>
  <si>
    <t>Valor de los Equipos, Máquinas o Materiales</t>
  </si>
  <si>
    <t>REPRESENTACION TECNICA EMPRESAS PROVEEDORAS DE EQUIPOS, MAQUINAS Y MATERIALES-</t>
  </si>
  <si>
    <t>ESTUDIO DE PLIEGO Y DOCUMENTACION DE OBRA (Art 110, 112 Y 113)</t>
  </si>
  <si>
    <t>ESTUDIO DE LAS PROPUESTAS PRESENTADA, OBSERVACIONES Y/O IMPUGNACIONES Y TRAMITES</t>
  </si>
  <si>
    <t>HASTA LA ADJUDICION (Art 110, 112 Y 113)</t>
  </si>
  <si>
    <t>TASACIÓN DE DAÑOS POR APRECIACION DIRECTA DEL DAÑO (Art 96 y 97)</t>
  </si>
  <si>
    <t>HONORARIOS CROQUIS PRELIMINARES - OBRA DE INGENIERIA (Art 86 y 87)</t>
  </si>
  <si>
    <t>HONORARIOS CROQUIS PRELIMINARES Y ANTEPROYECTO- OBRA DE INGENIERIA (Art 86 y 87)</t>
  </si>
  <si>
    <t>500 K2</t>
  </si>
  <si>
    <t>Honorarios Croquis Preliminares</t>
  </si>
  <si>
    <t>HONORARIOS CROQUIS PRELIMINARES,ANTEPROYECTO Y PROYECTO- OBRA DE INGENIERIA (Art 86 y 87)</t>
  </si>
  <si>
    <t>HONORARIOS DIRECCION - OBRA DE INGENIERIA (Art 86 y 87)</t>
  </si>
  <si>
    <t>HONORARIOS PROYECTO Y DIRECCION - OBRA DE INGENIERIA (Art 86 y 87)</t>
  </si>
  <si>
    <t>Los Gastos Especiales (Art 9) No estan Incluidos en el Honorario y deberán ser abonados por el Comitente</t>
  </si>
  <si>
    <t>e  después del mismo</t>
  </si>
  <si>
    <t>Selección Tasación</t>
  </si>
  <si>
    <t>Tipo de Consulta</t>
  </si>
  <si>
    <t>Dias de Viaje</t>
  </si>
  <si>
    <t>Honorario por Consulta</t>
  </si>
  <si>
    <t>Monto Honorarios por cada consulta</t>
  </si>
  <si>
    <t>honorario convenido por"importancia y extensión de los cuestionarios y grado de responsabilidad que</t>
  </si>
  <si>
    <t>Parte del honorario relacionada con el valor del bien o la cosa</t>
  </si>
  <si>
    <t>REPRESENTACION TECNICA EJECUCION DE OBRAS - ESTUDIO DE LAS PROPUESTAS PRESENTADA,</t>
  </si>
  <si>
    <t>OBSERVACIONES Y/O IMPUGNACIONES Y TRAMITES HASTA LA ADJUDICACION (Art 110, 111 Y 113)</t>
  </si>
  <si>
    <t>Honorarios Croquis Preliminares y Anteproyecto</t>
  </si>
  <si>
    <t>Honorarios Croquis Preliminares; Anteproyecto y Proyecto</t>
  </si>
  <si>
    <t>HONORARIOS DE "ACUERDO CON EL TIEMPO EMPLEADO" (Art 6)</t>
  </si>
  <si>
    <t>Horas de Viaje</t>
  </si>
  <si>
    <t>Horas de Trabajo en Gabinete</t>
  </si>
  <si>
    <t>Tiempo empleado en la realización del Trabajo (expresado en días o fraccion, horas o ambos)</t>
  </si>
  <si>
    <t>Días/Horas de Trabajo en el Terreno en un radio de hasta 30 Km</t>
  </si>
  <si>
    <t>Días</t>
  </si>
  <si>
    <t>Horas</t>
  </si>
  <si>
    <t>Días/Horas de Trabajo en el Terreno en un radio de más de 30 Km</t>
  </si>
  <si>
    <t>"Los honorarios deberán establecerse de acuerdo a lo especificado en los distintos capítulos. Si las tareas</t>
  </si>
  <si>
    <t>encomendadas" se somponen de "las determinadas en distintos capítulos, el honorario será el resultante</t>
  </si>
  <si>
    <t>de sumar los honorarios parciales" "En caso de no existir base sobre la cual determinar los honorarios,</t>
  </si>
  <si>
    <t xml:space="preserve">"Los Honorarios constituyen la retribución por el trabajo y responsabilidad del profesional en la ejecución </t>
  </si>
  <si>
    <t>de la tarea encomendadae incluyen elpago de los gastos generales de su oficina relacionados con el</t>
  </si>
  <si>
    <t>ejercicio de su profesión. Los gastos especiales originados por la encomienda de una tarea profesional</t>
  </si>
  <si>
    <t>deberán ser abonados por el comitente" (Art 2 y 9)</t>
  </si>
  <si>
    <t>ellos podrán estimarse por analogía o bien "de acuerdo con el tiempo empleado" (Art 6)</t>
  </si>
  <si>
    <t>Aporte Mínimo</t>
  </si>
  <si>
    <t>HyST</t>
  </si>
  <si>
    <t>ELECTRICIDAD POR M2</t>
  </si>
  <si>
    <t>hasta 6 Pisos</t>
  </si>
  <si>
    <t>entre 6 y 10</t>
  </si>
  <si>
    <t>Mas de 10</t>
  </si>
  <si>
    <t>hasta 3 pisos o 1000 mts</t>
  </si>
  <si>
    <t>mas de 3 pisos o 1000 mts</t>
  </si>
  <si>
    <t>m2</t>
  </si>
  <si>
    <t>Valor m2</t>
  </si>
  <si>
    <t>Valor Obra</t>
  </si>
  <si>
    <t>valor obra</t>
  </si>
  <si>
    <t>Incidencia HyST</t>
  </si>
  <si>
    <t>Inicencia Obra Electrica</t>
  </si>
</sst>
</file>

<file path=xl/styles.xml><?xml version="1.0" encoding="utf-8"?>
<styleSheet xmlns="http://schemas.openxmlformats.org/spreadsheetml/2006/main">
  <numFmts count="5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0"/>
    <numFmt numFmtId="189" formatCode="0.00000"/>
    <numFmt numFmtId="190" formatCode="0.0000"/>
    <numFmt numFmtId="191" formatCode="0.000"/>
    <numFmt numFmtId="192" formatCode="#,##0.00_ ;\-#,##0.00\ "/>
    <numFmt numFmtId="193" formatCode="0.0"/>
    <numFmt numFmtId="194" formatCode="_ * #,##0.000_ ;_ * \-#,##0.000_ ;_ * &quot;-&quot;??_ ;_ @_ "/>
    <numFmt numFmtId="195" formatCode="_ * #,##0.0000_ ;_ * \-#,##0.0000_ ;_ * &quot;-&quot;??_ ;_ @_ "/>
    <numFmt numFmtId="196" formatCode="_ * #,##0.0_ ;_ * \-#,##0.0_ ;_ * &quot;-&quot;??_ ;_ @_ "/>
    <numFmt numFmtId="197" formatCode="_ * #,##0_ ;_ * \-#,##0_ ;_ * &quot;-&quot;??_ ;_ @_ "/>
    <numFmt numFmtId="198" formatCode="0.0%"/>
    <numFmt numFmtId="199" formatCode="_ [$€-2]\ * #,##0.00_ ;_ [$€-2]\ * \-#,##0.00_ ;_ [$€-2]\ * &quot;-&quot;??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 [$$-2C0A]\ * #,##0.00_ ;_ [$$-2C0A]\ * \-#,##0.00_ ;_ [$$-2C0A]\ * &quot;-&quot;??_ ;_ @_ "/>
    <numFmt numFmtId="205" formatCode="0.000000000"/>
    <numFmt numFmtId="206" formatCode="0.00000000"/>
    <numFmt numFmtId="207" formatCode="0.0000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99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left"/>
    </xf>
    <xf numFmtId="43" fontId="0" fillId="33" borderId="0" xfId="47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3" fontId="0" fillId="34" borderId="0" xfId="0" applyNumberFormat="1" applyFill="1" applyAlignment="1">
      <alignment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43" fontId="0" fillId="35" borderId="0" xfId="0" applyNumberFormat="1" applyFill="1" applyAlignment="1">
      <alignment/>
    </xf>
    <xf numFmtId="0" fontId="6" fillId="0" borderId="0" xfId="0" applyNumberFormat="1" applyFont="1" applyFill="1" applyBorder="1" applyAlignment="1" applyProtection="1">
      <alignment vertical="top"/>
      <protection locked="0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35" borderId="0" xfId="0" applyNumberFormat="1" applyFill="1" applyAlignment="1">
      <alignment/>
    </xf>
    <xf numFmtId="43" fontId="0" fillId="0" borderId="0" xfId="0" applyNumberFormat="1" applyFill="1" applyAlignment="1">
      <alignment/>
    </xf>
    <xf numFmtId="197" fontId="0" fillId="34" borderId="0" xfId="0" applyNumberFormat="1" applyFill="1" applyAlignment="1">
      <alignment/>
    </xf>
    <xf numFmtId="197" fontId="0" fillId="35" borderId="0" xfId="0" applyNumberFormat="1" applyFill="1" applyAlignment="1">
      <alignment/>
    </xf>
    <xf numFmtId="43" fontId="0" fillId="0" borderId="0" xfId="47" applyAlignment="1">
      <alignment/>
    </xf>
    <xf numFmtId="43" fontId="0" fillId="33" borderId="0" xfId="47" applyFill="1" applyAlignment="1">
      <alignment/>
    </xf>
    <xf numFmtId="43" fontId="0" fillId="33" borderId="0" xfId="47" applyFont="1" applyFill="1" applyAlignment="1">
      <alignment/>
    </xf>
    <xf numFmtId="43" fontId="0" fillId="0" borderId="0" xfId="47" applyFont="1" applyAlignment="1">
      <alignment/>
    </xf>
    <xf numFmtId="1" fontId="0" fillId="0" borderId="0" xfId="47" applyNumberFormat="1" applyAlignment="1">
      <alignment/>
    </xf>
    <xf numFmtId="43" fontId="0" fillId="0" borderId="0" xfId="0" applyNumberFormat="1" applyFill="1" applyAlignment="1">
      <alignment horizontal="right"/>
    </xf>
    <xf numFmtId="43" fontId="0" fillId="0" borderId="0" xfId="47" applyFill="1" applyAlignment="1">
      <alignment/>
    </xf>
    <xf numFmtId="43" fontId="0" fillId="34" borderId="0" xfId="0" applyNumberFormat="1" applyFill="1" applyAlignment="1">
      <alignment horizontal="right"/>
    </xf>
    <xf numFmtId="43" fontId="0" fillId="33" borderId="0" xfId="0" applyNumberFormat="1" applyFill="1" applyAlignment="1">
      <alignment/>
    </xf>
    <xf numFmtId="41" fontId="0" fillId="33" borderId="0" xfId="0" applyNumberFormat="1" applyFill="1" applyAlignment="1">
      <alignment/>
    </xf>
    <xf numFmtId="41" fontId="0" fillId="35" borderId="0" xfId="0" applyNumberFormat="1" applyFill="1" applyAlignment="1">
      <alignment/>
    </xf>
    <xf numFmtId="41" fontId="0" fillId="35" borderId="0" xfId="0" applyNumberFormat="1" applyFill="1" applyAlignment="1">
      <alignment horizontal="right"/>
    </xf>
    <xf numFmtId="41" fontId="0" fillId="0" borderId="0" xfId="0" applyNumberFormat="1" applyAlignment="1">
      <alignment/>
    </xf>
    <xf numFmtId="41" fontId="0" fillId="34" borderId="0" xfId="0" applyNumberFormat="1" applyFill="1" applyAlignment="1">
      <alignment/>
    </xf>
    <xf numFmtId="43" fontId="0" fillId="0" borderId="0" xfId="0" applyNumberFormat="1" applyFont="1" applyFill="1" applyAlignment="1">
      <alignment/>
    </xf>
    <xf numFmtId="41" fontId="0" fillId="0" borderId="0" xfId="47" applyNumberFormat="1" applyAlignment="1">
      <alignment/>
    </xf>
    <xf numFmtId="10" fontId="2" fillId="0" borderId="0" xfId="53" applyNumberFormat="1" applyFont="1" applyAlignment="1">
      <alignment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vertical="center" indent="15"/>
    </xf>
    <xf numFmtId="0" fontId="44" fillId="0" borderId="0" xfId="0" applyFont="1" applyAlignment="1">
      <alignment/>
    </xf>
    <xf numFmtId="9" fontId="0" fillId="0" borderId="0" xfId="53" applyFont="1" applyAlignment="1">
      <alignment/>
    </xf>
    <xf numFmtId="0" fontId="43" fillId="0" borderId="0" xfId="0" applyFont="1" applyAlignment="1">
      <alignment/>
    </xf>
    <xf numFmtId="191" fontId="43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44" fontId="0" fillId="0" borderId="18" xfId="49" applyFont="1" applyBorder="1" applyAlignment="1">
      <alignment/>
    </xf>
    <xf numFmtId="44" fontId="0" fillId="0" borderId="0" xfId="49" applyFont="1" applyBorder="1" applyAlignment="1">
      <alignment/>
    </xf>
    <xf numFmtId="44" fontId="0" fillId="0" borderId="19" xfId="49" applyFont="1" applyBorder="1" applyAlignment="1">
      <alignment/>
    </xf>
    <xf numFmtId="0" fontId="0" fillId="36" borderId="17" xfId="0" applyFill="1" applyBorder="1" applyAlignment="1">
      <alignment/>
    </xf>
    <xf numFmtId="44" fontId="0" fillId="36" borderId="18" xfId="49" applyFont="1" applyFill="1" applyBorder="1" applyAlignment="1">
      <alignment/>
    </xf>
    <xf numFmtId="44" fontId="0" fillId="36" borderId="0" xfId="49" applyFont="1" applyFill="1" applyBorder="1" applyAlignment="1">
      <alignment/>
    </xf>
    <xf numFmtId="44" fontId="0" fillId="36" borderId="19" xfId="49" applyFont="1" applyFill="1" applyBorder="1" applyAlignment="1">
      <alignment/>
    </xf>
    <xf numFmtId="0" fontId="0" fillId="36" borderId="13" xfId="0" applyFill="1" applyBorder="1" applyAlignment="1">
      <alignment/>
    </xf>
    <xf numFmtId="44" fontId="0" fillId="36" borderId="20" xfId="49" applyFont="1" applyFill="1" applyBorder="1" applyAlignment="1">
      <alignment/>
    </xf>
    <xf numFmtId="44" fontId="0" fillId="36" borderId="21" xfId="49" applyFont="1" applyFill="1" applyBorder="1" applyAlignment="1">
      <alignment/>
    </xf>
    <xf numFmtId="44" fontId="0" fillId="36" borderId="22" xfId="49" applyFont="1" applyFill="1" applyBorder="1" applyAlignment="1">
      <alignment/>
    </xf>
    <xf numFmtId="0" fontId="0" fillId="0" borderId="13" xfId="0" applyFont="1" applyFill="1" applyBorder="1" applyAlignment="1">
      <alignment/>
    </xf>
    <xf numFmtId="44" fontId="0" fillId="0" borderId="20" xfId="49" applyFont="1" applyBorder="1" applyAlignment="1">
      <alignment/>
    </xf>
    <xf numFmtId="44" fontId="0" fillId="0" borderId="22" xfId="49" applyFont="1" applyBorder="1" applyAlignment="1">
      <alignment/>
    </xf>
    <xf numFmtId="0" fontId="0" fillId="37" borderId="15" xfId="0" applyFill="1" applyBorder="1" applyAlignment="1">
      <alignment/>
    </xf>
    <xf numFmtId="43" fontId="0" fillId="0" borderId="23" xfId="0" applyNumberFormat="1" applyBorder="1" applyAlignment="1">
      <alignment/>
    </xf>
    <xf numFmtId="44" fontId="0" fillId="33" borderId="0" xfId="0" applyNumberFormat="1" applyFill="1" applyAlignment="1">
      <alignment/>
    </xf>
    <xf numFmtId="0" fontId="0" fillId="38" borderId="12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3"/>
  <sheetViews>
    <sheetView tabSelected="1" zoomScalePageLayoutView="0" workbookViewId="0" topLeftCell="A43">
      <selection activeCell="L59" sqref="L59"/>
    </sheetView>
  </sheetViews>
  <sheetFormatPr defaultColWidth="11.421875" defaultRowHeight="12.75"/>
  <cols>
    <col min="1" max="1" width="4.57421875" style="0" customWidth="1"/>
    <col min="3" max="3" width="18.57421875" style="0" bestFit="1" customWidth="1"/>
    <col min="4" max="4" width="18.57421875" style="0" customWidth="1"/>
    <col min="5" max="5" width="26.28125" style="0" customWidth="1"/>
    <col min="6" max="6" width="13.57421875" style="0" customWidth="1"/>
    <col min="7" max="7" width="11.140625" style="0" customWidth="1"/>
    <col min="8" max="8" width="12.140625" style="0" customWidth="1"/>
    <col min="9" max="9" width="13.57421875" style="0" customWidth="1"/>
    <col min="10" max="10" width="17.140625" style="0" customWidth="1"/>
    <col min="11" max="11" width="19.140625" style="0" bestFit="1" customWidth="1"/>
    <col min="12" max="12" width="13.57421875" style="0" customWidth="1"/>
    <col min="14" max="14" width="22.421875" style="0" customWidth="1"/>
    <col min="15" max="15" width="20.00390625" style="0" customWidth="1"/>
  </cols>
  <sheetData>
    <row r="1" ht="12.75">
      <c r="B1" s="10" t="s">
        <v>103</v>
      </c>
    </row>
    <row r="2" ht="12.75">
      <c r="B2" s="10"/>
    </row>
    <row r="3" ht="12.75">
      <c r="B3" s="11" t="s">
        <v>191</v>
      </c>
    </row>
    <row r="4" s="11" customFormat="1" ht="12.75">
      <c r="B4" s="11" t="s">
        <v>192</v>
      </c>
    </row>
    <row r="5" s="11" customFormat="1" ht="12.75">
      <c r="B5" s="11" t="s">
        <v>193</v>
      </c>
    </row>
    <row r="6" s="11" customFormat="1" ht="12.75">
      <c r="B6" s="11" t="s">
        <v>194</v>
      </c>
    </row>
    <row r="7" s="11" customFormat="1" ht="12.75">
      <c r="B7" s="11" t="s">
        <v>188</v>
      </c>
    </row>
    <row r="8" s="11" customFormat="1" ht="12.75">
      <c r="B8" s="11" t="s">
        <v>189</v>
      </c>
    </row>
    <row r="9" s="11" customFormat="1" ht="12.75">
      <c r="B9" s="11" t="s">
        <v>190</v>
      </c>
    </row>
    <row r="10" s="11" customFormat="1" ht="12.75">
      <c r="B10" s="11" t="s">
        <v>195</v>
      </c>
    </row>
    <row r="11" s="11" customFormat="1" ht="12.75"/>
    <row r="12" s="11" customFormat="1" ht="12.75"/>
    <row r="13" spans="1:2" ht="12.75">
      <c r="A13">
        <v>1</v>
      </c>
      <c r="B13" s="4" t="s">
        <v>180</v>
      </c>
    </row>
    <row r="14" ht="12.75">
      <c r="B14" s="12" t="s">
        <v>105</v>
      </c>
    </row>
    <row r="15" ht="12.75">
      <c r="B15" s="11" t="s">
        <v>183</v>
      </c>
    </row>
    <row r="16" spans="2:4" ht="12.75">
      <c r="B16" t="s">
        <v>36</v>
      </c>
      <c r="D16" s="34">
        <v>0</v>
      </c>
    </row>
    <row r="17" spans="2:4" ht="12.75">
      <c r="B17" t="s">
        <v>181</v>
      </c>
      <c r="D17" s="34">
        <v>0</v>
      </c>
    </row>
    <row r="18" spans="2:4" ht="12.75">
      <c r="B18" t="s">
        <v>112</v>
      </c>
      <c r="D18" s="34">
        <v>0</v>
      </c>
    </row>
    <row r="19" spans="2:4" ht="12.75">
      <c r="B19" t="s">
        <v>182</v>
      </c>
      <c r="D19" s="34">
        <v>0</v>
      </c>
    </row>
    <row r="20" spans="2:6" ht="12.75">
      <c r="B20" t="s">
        <v>184</v>
      </c>
      <c r="D20" s="37"/>
      <c r="F20" s="3"/>
    </row>
    <row r="21" spans="2:6" ht="12.75">
      <c r="B21" t="s">
        <v>27</v>
      </c>
      <c r="D21" s="37"/>
      <c r="E21" s="2"/>
      <c r="F21" s="3"/>
    </row>
    <row r="22" spans="2:6" ht="12.75">
      <c r="B22" t="s">
        <v>185</v>
      </c>
      <c r="D22" s="34">
        <v>0</v>
      </c>
      <c r="E22" s="2"/>
      <c r="F22" s="3"/>
    </row>
    <row r="23" spans="2:6" ht="12.75">
      <c r="B23" t="s">
        <v>186</v>
      </c>
      <c r="D23" s="34">
        <v>0</v>
      </c>
      <c r="E23" s="2"/>
      <c r="F23" s="3"/>
    </row>
    <row r="24" spans="2:6" ht="12.75">
      <c r="B24" t="s">
        <v>28</v>
      </c>
      <c r="D24" s="37"/>
      <c r="E24" s="2"/>
      <c r="F24" s="3"/>
    </row>
    <row r="25" spans="2:6" ht="12.75">
      <c r="B25" t="s">
        <v>185</v>
      </c>
      <c r="D25" s="34">
        <v>0</v>
      </c>
      <c r="E25" s="2"/>
      <c r="F25" s="3"/>
    </row>
    <row r="26" spans="2:6" ht="12.75">
      <c r="B26" t="s">
        <v>186</v>
      </c>
      <c r="D26" s="34">
        <v>0</v>
      </c>
      <c r="E26" s="2"/>
      <c r="F26" s="3"/>
    </row>
    <row r="27" spans="2:6" ht="12.75">
      <c r="B27" t="s">
        <v>187</v>
      </c>
      <c r="D27" s="37"/>
      <c r="F27" s="3"/>
    </row>
    <row r="28" spans="2:6" ht="12.75">
      <c r="B28" t="s">
        <v>27</v>
      </c>
      <c r="D28" s="37"/>
      <c r="E28" s="2"/>
      <c r="F28" s="3"/>
    </row>
    <row r="29" spans="2:6" ht="12.75">
      <c r="B29" t="s">
        <v>185</v>
      </c>
      <c r="D29" s="34">
        <v>0</v>
      </c>
      <c r="E29" s="2"/>
      <c r="F29" s="3"/>
    </row>
    <row r="30" spans="2:6" ht="12.75">
      <c r="B30" t="s">
        <v>186</v>
      </c>
      <c r="D30" s="34">
        <v>0</v>
      </c>
      <c r="E30" s="2"/>
      <c r="F30" s="3"/>
    </row>
    <row r="31" spans="2:6" ht="12.75">
      <c r="B31" t="s">
        <v>28</v>
      </c>
      <c r="D31" s="37"/>
      <c r="E31" s="2"/>
      <c r="F31" s="3"/>
    </row>
    <row r="32" spans="2:6" ht="12.75">
      <c r="B32" t="s">
        <v>185</v>
      </c>
      <c r="D32" s="34">
        <v>0</v>
      </c>
      <c r="E32" s="2"/>
      <c r="F32" s="3"/>
    </row>
    <row r="33" spans="2:6" ht="12.75">
      <c r="B33" t="s">
        <v>186</v>
      </c>
      <c r="D33" s="34">
        <v>0</v>
      </c>
      <c r="E33" s="2"/>
      <c r="F33" s="3"/>
    </row>
    <row r="34" spans="2:4" ht="12.75">
      <c r="B34" s="13" t="s">
        <v>107</v>
      </c>
      <c r="D34" s="37"/>
    </row>
    <row r="35" spans="2:4" ht="12.75">
      <c r="B35" t="s">
        <v>109</v>
      </c>
      <c r="D35" s="38">
        <f>+Cálculo!F39</f>
        <v>0</v>
      </c>
    </row>
    <row r="36" spans="2:4" ht="12.75">
      <c r="B36" t="s">
        <v>108</v>
      </c>
      <c r="D36" s="35">
        <f>+Cálculo!F40</f>
        <v>0</v>
      </c>
    </row>
    <row r="38" spans="1:2" ht="12.75">
      <c r="A38">
        <v>2</v>
      </c>
      <c r="B38" s="4" t="s">
        <v>160</v>
      </c>
    </row>
    <row r="39" ht="12.75">
      <c r="B39" s="12" t="s">
        <v>105</v>
      </c>
    </row>
    <row r="40" spans="2:5" ht="12.75">
      <c r="B40" t="s">
        <v>106</v>
      </c>
      <c r="E40" s="8">
        <v>0</v>
      </c>
    </row>
    <row r="41" spans="2:5" ht="12.75">
      <c r="B41" t="s">
        <v>119</v>
      </c>
      <c r="E41" s="9">
        <v>1</v>
      </c>
    </row>
    <row r="42" ht="12.75">
      <c r="B42" s="13" t="s">
        <v>107</v>
      </c>
    </row>
    <row r="43" spans="2:5" ht="12.75">
      <c r="B43" t="s">
        <v>109</v>
      </c>
      <c r="C43" s="1"/>
      <c r="E43" s="14">
        <f>SUM(Cálculo!G65:K65)</f>
        <v>0</v>
      </c>
    </row>
    <row r="44" spans="2:5" ht="12.75">
      <c r="B44" t="s">
        <v>108</v>
      </c>
      <c r="C44" s="1"/>
      <c r="E44" s="17">
        <f>SUM(Cálculo!G67:K67)</f>
        <v>0</v>
      </c>
    </row>
    <row r="45" ht="12.75">
      <c r="C45" s="1"/>
    </row>
    <row r="46" spans="1:2" ht="12.75">
      <c r="A46">
        <v>3</v>
      </c>
      <c r="B46" s="4" t="s">
        <v>161</v>
      </c>
    </row>
    <row r="47" ht="12.75">
      <c r="B47" s="12" t="s">
        <v>105</v>
      </c>
    </row>
    <row r="48" spans="2:5" ht="12.75">
      <c r="B48" t="s">
        <v>106</v>
      </c>
      <c r="E48" s="9">
        <v>12199250</v>
      </c>
    </row>
    <row r="49" spans="2:5" ht="12.75">
      <c r="B49" t="s">
        <v>119</v>
      </c>
      <c r="E49" s="9">
        <v>4</v>
      </c>
    </row>
    <row r="50" ht="12.75">
      <c r="B50" s="13" t="s">
        <v>107</v>
      </c>
    </row>
    <row r="51" spans="2:5" ht="12.75">
      <c r="B51" t="s">
        <v>109</v>
      </c>
      <c r="C51" s="1"/>
      <c r="E51" s="14">
        <f>SUM(Cálculo!G91:K91)</f>
        <v>466325</v>
      </c>
    </row>
    <row r="52" spans="2:5" ht="12.75">
      <c r="B52" t="s">
        <v>108</v>
      </c>
      <c r="C52" s="1"/>
      <c r="E52" s="17">
        <f>SUM(Cálculo!G93:K93)</f>
        <v>9326.5</v>
      </c>
    </row>
    <row r="53" ht="12.75">
      <c r="C53" s="1"/>
    </row>
    <row r="54" spans="3:15" ht="12.75">
      <c r="C54" s="1"/>
      <c r="I54" s="78" t="s">
        <v>197</v>
      </c>
      <c r="J54" s="79"/>
      <c r="K54" s="79"/>
      <c r="L54" s="79"/>
      <c r="M54" s="50"/>
      <c r="N54" s="80" t="s">
        <v>198</v>
      </c>
      <c r="O54" s="81"/>
    </row>
    <row r="55" spans="1:15" ht="12.75">
      <c r="A55">
        <v>4</v>
      </c>
      <c r="B55" s="4" t="s">
        <v>164</v>
      </c>
      <c r="I55" s="51" t="s">
        <v>199</v>
      </c>
      <c r="J55" s="51"/>
      <c r="K55" s="51" t="s">
        <v>200</v>
      </c>
      <c r="L55" s="52" t="s">
        <v>201</v>
      </c>
      <c r="M55" s="53"/>
      <c r="N55" s="54" t="s">
        <v>202</v>
      </c>
      <c r="O55" s="55" t="s">
        <v>203</v>
      </c>
    </row>
    <row r="56" spans="2:15" ht="12.75">
      <c r="B56" s="12" t="s">
        <v>105</v>
      </c>
      <c r="I56" s="56" t="s">
        <v>204</v>
      </c>
      <c r="J56" s="75">
        <v>1065.98</v>
      </c>
      <c r="K56" s="76">
        <v>3000</v>
      </c>
      <c r="L56" s="58"/>
      <c r="M56" s="59" t="s">
        <v>204</v>
      </c>
      <c r="N56" s="57"/>
      <c r="O56" s="58">
        <v>5440</v>
      </c>
    </row>
    <row r="57" spans="2:15" ht="12.75">
      <c r="B57" t="s">
        <v>106</v>
      </c>
      <c r="E57" s="77">
        <f>K59</f>
        <v>4147200</v>
      </c>
      <c r="I57" s="60" t="s">
        <v>205</v>
      </c>
      <c r="J57" s="61">
        <v>12500</v>
      </c>
      <c r="K57" s="62">
        <v>46080</v>
      </c>
      <c r="L57" s="63">
        <v>1250</v>
      </c>
      <c r="M57" s="59" t="s">
        <v>205</v>
      </c>
      <c r="N57" s="61">
        <v>0</v>
      </c>
      <c r="O57" s="63">
        <v>11000</v>
      </c>
    </row>
    <row r="58" spans="2:15" ht="12.75">
      <c r="B58" t="s">
        <v>119</v>
      </c>
      <c r="E58" s="9">
        <v>3</v>
      </c>
      <c r="I58" s="64" t="s">
        <v>206</v>
      </c>
      <c r="J58" s="65">
        <f>J57*J56</f>
        <v>13324750</v>
      </c>
      <c r="K58" s="66">
        <f>K56*K57</f>
        <v>138240000</v>
      </c>
      <c r="L58" s="67">
        <f>L56*L57</f>
        <v>0</v>
      </c>
      <c r="M58" s="59" t="s">
        <v>207</v>
      </c>
      <c r="N58" s="61">
        <f>+N56*N57</f>
        <v>0</v>
      </c>
      <c r="O58" s="63">
        <f>+O56*O57</f>
        <v>59840000</v>
      </c>
    </row>
    <row r="59" spans="2:15" ht="12.75">
      <c r="B59" s="13" t="s">
        <v>107</v>
      </c>
      <c r="I59" s="68" t="s">
        <v>208</v>
      </c>
      <c r="J59" s="69">
        <f>+J58*2%</f>
        <v>266495</v>
      </c>
      <c r="K59" s="70">
        <f>+K58*3%</f>
        <v>4147200</v>
      </c>
      <c r="L59" s="71">
        <f>+L58*4%</f>
        <v>0</v>
      </c>
      <c r="M59" s="72" t="s">
        <v>209</v>
      </c>
      <c r="N59" s="73">
        <f>+N58*4.7%</f>
        <v>0</v>
      </c>
      <c r="O59" s="74">
        <f>+O58*3.7%</f>
        <v>2214080.0000000005</v>
      </c>
    </row>
    <row r="60" spans="2:5" ht="12.75">
      <c r="B60" t="s">
        <v>109</v>
      </c>
      <c r="C60" s="1"/>
      <c r="E60" s="14">
        <f>SUM(Cálculo!G117:K117)</f>
        <v>261273.59999999998</v>
      </c>
    </row>
    <row r="61" spans="2:5" ht="12.75">
      <c r="B61" t="s">
        <v>108</v>
      </c>
      <c r="C61" s="1"/>
      <c r="E61" s="17">
        <f>SUM(Cálculo!G119:K119)</f>
        <v>5225.472</v>
      </c>
    </row>
    <row r="62" ht="12.75">
      <c r="C62" s="1"/>
    </row>
    <row r="63" ht="12.75">
      <c r="C63" s="1"/>
    </row>
    <row r="64" spans="1:2" ht="12.75">
      <c r="A64">
        <v>5</v>
      </c>
      <c r="B64" s="4" t="s">
        <v>165</v>
      </c>
    </row>
    <row r="65" ht="12.75">
      <c r="B65" s="12" t="s">
        <v>105</v>
      </c>
    </row>
    <row r="66" spans="2:5" ht="12.75">
      <c r="B66" t="s">
        <v>106</v>
      </c>
      <c r="E66" s="9">
        <v>0</v>
      </c>
    </row>
    <row r="67" spans="2:5" ht="12.75">
      <c r="B67" t="s">
        <v>119</v>
      </c>
      <c r="E67" s="9">
        <v>1</v>
      </c>
    </row>
    <row r="68" ht="12.75">
      <c r="B68" s="13" t="s">
        <v>107</v>
      </c>
    </row>
    <row r="69" spans="2:5" ht="12.75">
      <c r="B69" t="s">
        <v>109</v>
      </c>
      <c r="C69" s="1"/>
      <c r="E69" s="14">
        <f>SUM(Cálculo!G144:K144)</f>
        <v>0</v>
      </c>
    </row>
    <row r="70" spans="2:5" ht="12.75">
      <c r="B70" t="s">
        <v>108</v>
      </c>
      <c r="C70" s="1"/>
      <c r="E70" s="17">
        <f>SUM(Cálculo!G146:K146)</f>
        <v>0</v>
      </c>
    </row>
    <row r="71" ht="12.75">
      <c r="C71" s="1"/>
    </row>
    <row r="72" ht="12.75">
      <c r="C72" s="1"/>
    </row>
    <row r="73" spans="1:2" ht="12.75">
      <c r="A73">
        <v>6</v>
      </c>
      <c r="B73" s="4" t="s">
        <v>166</v>
      </c>
    </row>
    <row r="74" ht="12.75">
      <c r="B74" s="12" t="s">
        <v>105</v>
      </c>
    </row>
    <row r="75" spans="2:5" ht="12.75">
      <c r="B75" t="s">
        <v>106</v>
      </c>
      <c r="E75" s="9">
        <v>12199250</v>
      </c>
    </row>
    <row r="76" spans="2:5" ht="12.75">
      <c r="B76" t="s">
        <v>119</v>
      </c>
      <c r="E76" s="9">
        <v>3</v>
      </c>
    </row>
    <row r="77" ht="12.75">
      <c r="B77" s="13" t="s">
        <v>107</v>
      </c>
    </row>
    <row r="78" spans="2:5" ht="12.75">
      <c r="B78" t="s">
        <v>109</v>
      </c>
      <c r="C78" s="1"/>
      <c r="E78" s="14">
        <f>SUM(Cálculo!G170:K170)</f>
        <v>1043820</v>
      </c>
    </row>
    <row r="79" spans="2:5" ht="12.75">
      <c r="B79" t="s">
        <v>108</v>
      </c>
      <c r="C79" s="1"/>
      <c r="E79" s="17">
        <f>SUM(Cálculo!G172:K172)</f>
        <v>20876.4</v>
      </c>
    </row>
    <row r="80" ht="12.75">
      <c r="C80" s="1"/>
    </row>
    <row r="81" ht="12.75">
      <c r="C81" s="1"/>
    </row>
    <row r="83" spans="1:2" ht="12.75">
      <c r="A83">
        <v>7</v>
      </c>
      <c r="B83" s="4" t="s">
        <v>45</v>
      </c>
    </row>
    <row r="84" ht="12.75">
      <c r="B84" t="s">
        <v>167</v>
      </c>
    </row>
    <row r="85" ht="12.75">
      <c r="B85" s="12" t="s">
        <v>105</v>
      </c>
    </row>
    <row r="86" spans="2:4" ht="12.75">
      <c r="B86" s="11" t="s">
        <v>110</v>
      </c>
      <c r="D86" s="9">
        <v>0</v>
      </c>
    </row>
    <row r="87" ht="12.75">
      <c r="B87" s="11" t="s">
        <v>111</v>
      </c>
    </row>
    <row r="88" spans="2:4" ht="12.75">
      <c r="B88" t="s">
        <v>36</v>
      </c>
      <c r="D88" s="9">
        <v>0</v>
      </c>
    </row>
    <row r="89" spans="2:4" ht="12.75">
      <c r="B89" t="s">
        <v>112</v>
      </c>
      <c r="D89" s="9">
        <v>0</v>
      </c>
    </row>
    <row r="90" spans="2:6" ht="12.75">
      <c r="B90" t="s">
        <v>113</v>
      </c>
      <c r="F90" s="3"/>
    </row>
    <row r="91" spans="2:6" ht="12.75">
      <c r="B91" t="s">
        <v>27</v>
      </c>
      <c r="D91" s="9">
        <v>0</v>
      </c>
      <c r="E91" s="2"/>
      <c r="F91" s="3"/>
    </row>
    <row r="92" spans="2:6" ht="12.75">
      <c r="B92" t="s">
        <v>28</v>
      </c>
      <c r="D92" s="9">
        <v>0</v>
      </c>
      <c r="E92" s="2"/>
      <c r="F92" s="3"/>
    </row>
    <row r="93" spans="2:6" ht="12.75">
      <c r="B93" t="s">
        <v>114</v>
      </c>
      <c r="F93" s="3"/>
    </row>
    <row r="94" spans="2:6" ht="12.75">
      <c r="B94" t="s">
        <v>27</v>
      </c>
      <c r="D94" s="9">
        <v>0</v>
      </c>
      <c r="E94" s="2"/>
      <c r="F94" s="3"/>
    </row>
    <row r="95" spans="2:6" ht="12.75">
      <c r="B95" t="s">
        <v>28</v>
      </c>
      <c r="D95" s="9"/>
      <c r="E95" s="2"/>
      <c r="F95" s="3"/>
    </row>
    <row r="96" ht="12.75">
      <c r="B96" s="13" t="s">
        <v>107</v>
      </c>
    </row>
    <row r="97" spans="2:4" ht="12.75">
      <c r="B97" t="s">
        <v>109</v>
      </c>
      <c r="D97" s="14">
        <f>+Cálculo!F226</f>
        <v>0</v>
      </c>
    </row>
    <row r="98" spans="2:4" ht="12.75">
      <c r="B98" t="s">
        <v>108</v>
      </c>
      <c r="D98" s="17">
        <f>+Cálculo!F227</f>
        <v>0</v>
      </c>
    </row>
    <row r="100" spans="1:2" ht="12.75">
      <c r="A100">
        <v>8</v>
      </c>
      <c r="B100" s="4" t="s">
        <v>115</v>
      </c>
    </row>
    <row r="101" ht="12.75">
      <c r="B101" t="s">
        <v>46</v>
      </c>
    </row>
    <row r="102" ht="12.75">
      <c r="B102" t="s">
        <v>62</v>
      </c>
    </row>
    <row r="103" ht="12.75">
      <c r="B103" t="s">
        <v>52</v>
      </c>
    </row>
    <row r="104" ht="12.75">
      <c r="B104" t="s">
        <v>168</v>
      </c>
    </row>
    <row r="105" ht="12.75">
      <c r="B105" t="s">
        <v>69</v>
      </c>
    </row>
    <row r="106" ht="12.75">
      <c r="B106" t="s">
        <v>70</v>
      </c>
    </row>
    <row r="107" ht="12.75">
      <c r="B107" s="12" t="s">
        <v>105</v>
      </c>
    </row>
    <row r="108" spans="2:5" ht="12.75">
      <c r="B108" s="6" t="s">
        <v>116</v>
      </c>
      <c r="E108" s="33">
        <v>0</v>
      </c>
    </row>
    <row r="109" spans="2:5" ht="12.75">
      <c r="B109" s="13" t="s">
        <v>107</v>
      </c>
      <c r="E109" s="2"/>
    </row>
    <row r="110" spans="2:5" ht="12.75">
      <c r="B110" t="s">
        <v>109</v>
      </c>
      <c r="E110" s="14">
        <f>+Cálculo!F255</f>
        <v>0</v>
      </c>
    </row>
    <row r="111" spans="2:5" ht="12.75">
      <c r="B111" t="s">
        <v>108</v>
      </c>
      <c r="E111" s="17">
        <f>+Cálculo!F256</f>
        <v>0</v>
      </c>
    </row>
    <row r="112" ht="12.75">
      <c r="B112" s="4"/>
    </row>
    <row r="113" spans="1:2" ht="14.25">
      <c r="A113" s="18">
        <v>9</v>
      </c>
      <c r="B113" s="4" t="s">
        <v>159</v>
      </c>
    </row>
    <row r="114" ht="12.75">
      <c r="B114" t="s">
        <v>46</v>
      </c>
    </row>
    <row r="115" ht="12.75">
      <c r="B115" t="s">
        <v>62</v>
      </c>
    </row>
    <row r="116" ht="12.75">
      <c r="B116" t="s">
        <v>69</v>
      </c>
    </row>
    <row r="117" ht="12.75">
      <c r="B117" t="s">
        <v>70</v>
      </c>
    </row>
    <row r="118" ht="12.75">
      <c r="B118" s="12" t="s">
        <v>105</v>
      </c>
    </row>
    <row r="119" spans="2:5" ht="12.75">
      <c r="B119" s="6" t="s">
        <v>124</v>
      </c>
      <c r="E119" s="33">
        <v>0</v>
      </c>
    </row>
    <row r="120" ht="12.75">
      <c r="B120" s="13" t="s">
        <v>107</v>
      </c>
    </row>
    <row r="121" spans="2:5" ht="12.75">
      <c r="B121" t="s">
        <v>109</v>
      </c>
      <c r="E121" s="14">
        <f>+Cálculo!F281</f>
        <v>0</v>
      </c>
    </row>
    <row r="122" spans="2:5" ht="12.75">
      <c r="B122" t="s">
        <v>108</v>
      </c>
      <c r="E122" s="17">
        <f>+Cálculo!F282</f>
        <v>0</v>
      </c>
    </row>
    <row r="123" ht="12.75">
      <c r="B123" s="4"/>
    </row>
    <row r="125" spans="1:2" ht="12.75">
      <c r="A125">
        <v>10</v>
      </c>
      <c r="B125" s="4" t="s">
        <v>122</v>
      </c>
    </row>
    <row r="126" ht="12.75">
      <c r="B126" t="s">
        <v>46</v>
      </c>
    </row>
    <row r="127" ht="12.75">
      <c r="B127" t="s">
        <v>62</v>
      </c>
    </row>
    <row r="128" ht="12.75">
      <c r="B128" t="s">
        <v>69</v>
      </c>
    </row>
    <row r="129" ht="12.75">
      <c r="B129" t="s">
        <v>70</v>
      </c>
    </row>
    <row r="130" ht="12.75">
      <c r="B130" s="12" t="s">
        <v>105</v>
      </c>
    </row>
    <row r="131" spans="2:4" ht="12.75">
      <c r="B131" t="s">
        <v>123</v>
      </c>
      <c r="D131" s="9">
        <v>0</v>
      </c>
    </row>
    <row r="132" spans="2:6" ht="12.75">
      <c r="B132" t="s">
        <v>169</v>
      </c>
      <c r="D132" s="9">
        <v>3</v>
      </c>
      <c r="E132" t="s">
        <v>66</v>
      </c>
      <c r="F132">
        <v>1</v>
      </c>
    </row>
    <row r="133" spans="5:6" ht="12.75">
      <c r="E133" t="s">
        <v>67</v>
      </c>
      <c r="F133">
        <v>2</v>
      </c>
    </row>
    <row r="134" spans="5:6" ht="12.75">
      <c r="E134" t="s">
        <v>68</v>
      </c>
      <c r="F134">
        <v>3</v>
      </c>
    </row>
    <row r="135" ht="12.75">
      <c r="B135" s="13" t="s">
        <v>107</v>
      </c>
    </row>
    <row r="136" spans="2:4" ht="12.75">
      <c r="B136" t="s">
        <v>109</v>
      </c>
      <c r="D136" s="14">
        <f>SUM(Cálculo!F308:H308)</f>
        <v>0</v>
      </c>
    </row>
    <row r="137" spans="2:4" ht="12.75">
      <c r="B137" t="s">
        <v>108</v>
      </c>
      <c r="D137" s="17">
        <f>SUM(Cálculo!F309:H309)</f>
        <v>0</v>
      </c>
    </row>
    <row r="139" spans="1:2" ht="12.75">
      <c r="A139">
        <v>11</v>
      </c>
      <c r="B139" s="4" t="s">
        <v>130</v>
      </c>
    </row>
    <row r="140" ht="12.75">
      <c r="B140" t="s">
        <v>131</v>
      </c>
    </row>
    <row r="141" ht="12.75">
      <c r="B141" s="12" t="s">
        <v>105</v>
      </c>
    </row>
    <row r="142" spans="2:4" ht="12.75">
      <c r="B142" s="11" t="s">
        <v>170</v>
      </c>
      <c r="D142" s="34">
        <v>0</v>
      </c>
    </row>
    <row r="143" spans="2:6" s="20" customFormat="1" ht="12.75">
      <c r="B143" s="20" t="s">
        <v>131</v>
      </c>
      <c r="F143" s="20">
        <v>1</v>
      </c>
    </row>
    <row r="144" spans="2:6" s="20" customFormat="1" ht="12.75">
      <c r="B144" s="20" t="s">
        <v>132</v>
      </c>
      <c r="F144" s="20">
        <v>2</v>
      </c>
    </row>
    <row r="145" spans="2:6" s="20" customFormat="1" ht="12.75">
      <c r="B145" s="20" t="s">
        <v>128</v>
      </c>
      <c r="F145" s="20">
        <v>3</v>
      </c>
    </row>
    <row r="146" spans="2:4" s="20" customFormat="1" ht="12.75">
      <c r="B146" s="20" t="s">
        <v>171</v>
      </c>
      <c r="D146" s="9">
        <v>0</v>
      </c>
    </row>
    <row r="147" ht="12.75">
      <c r="B147" s="13" t="s">
        <v>107</v>
      </c>
    </row>
    <row r="148" spans="2:4" ht="12.75">
      <c r="B148" t="s">
        <v>173</v>
      </c>
      <c r="D148" s="14">
        <v>0</v>
      </c>
    </row>
    <row r="149" spans="2:4" ht="12.75">
      <c r="B149" t="s">
        <v>108</v>
      </c>
      <c r="D149" s="17">
        <f>+Cálculo!F324</f>
        <v>0</v>
      </c>
    </row>
    <row r="151" spans="1:2" ht="12.75">
      <c r="A151">
        <v>12</v>
      </c>
      <c r="B151" s="4" t="s">
        <v>137</v>
      </c>
    </row>
    <row r="152" ht="12.75">
      <c r="J152" s="44"/>
    </row>
    <row r="153" ht="12.75">
      <c r="B153" s="12" t="s">
        <v>105</v>
      </c>
    </row>
    <row r="155" ht="12.75">
      <c r="B155" t="s">
        <v>174</v>
      </c>
    </row>
    <row r="156" spans="2:4" ht="12.75">
      <c r="B156" t="s">
        <v>136</v>
      </c>
      <c r="D156" s="34">
        <v>0</v>
      </c>
    </row>
    <row r="157" spans="2:4" ht="12.75">
      <c r="B157" t="s">
        <v>77</v>
      </c>
      <c r="D157" s="34">
        <v>0</v>
      </c>
    </row>
    <row r="158" spans="2:4" ht="12.75">
      <c r="B158" t="s">
        <v>36</v>
      </c>
      <c r="D158" s="34">
        <v>0</v>
      </c>
    </row>
    <row r="159" spans="2:4" ht="12.75">
      <c r="B159" s="13" t="s">
        <v>107</v>
      </c>
      <c r="D159" s="37"/>
    </row>
    <row r="160" spans="2:4" ht="12.75">
      <c r="B160" t="s">
        <v>109</v>
      </c>
      <c r="D160" s="38">
        <f>+Cálculo!E356</f>
        <v>0</v>
      </c>
    </row>
    <row r="161" spans="2:4" ht="12.75">
      <c r="B161" t="s">
        <v>108</v>
      </c>
      <c r="D161" s="35">
        <f>+Cálculo!E357</f>
        <v>0</v>
      </c>
    </row>
    <row r="163" spans="1:2" ht="12.75">
      <c r="A163">
        <v>13</v>
      </c>
      <c r="B163" s="4" t="s">
        <v>138</v>
      </c>
    </row>
    <row r="165" ht="12.75">
      <c r="B165" s="12" t="s">
        <v>105</v>
      </c>
    </row>
    <row r="166" ht="12.75">
      <c r="B166" t="s">
        <v>174</v>
      </c>
    </row>
    <row r="167" spans="2:5" ht="12.75">
      <c r="B167" t="s">
        <v>136</v>
      </c>
      <c r="E167" s="34">
        <v>0</v>
      </c>
    </row>
    <row r="168" spans="2:5" ht="12.75">
      <c r="B168" s="6" t="s">
        <v>116</v>
      </c>
      <c r="E168" s="34">
        <v>0</v>
      </c>
    </row>
    <row r="169" spans="2:5" ht="12.75">
      <c r="B169" s="13" t="s">
        <v>107</v>
      </c>
      <c r="E169" s="37"/>
    </row>
    <row r="170" spans="2:5" ht="12.75">
      <c r="B170" t="s">
        <v>109</v>
      </c>
      <c r="E170" s="38">
        <f>+Cálculo!F389</f>
        <v>0</v>
      </c>
    </row>
    <row r="171" spans="2:5" ht="12.75">
      <c r="B171" t="s">
        <v>108</v>
      </c>
      <c r="E171" s="35">
        <f>+Cálculo!F390</f>
        <v>0</v>
      </c>
    </row>
    <row r="173" ht="12.75">
      <c r="B173" s="6"/>
    </row>
    <row r="174" spans="1:2" ht="12.75">
      <c r="A174">
        <v>14</v>
      </c>
      <c r="B174" s="4" t="s">
        <v>139</v>
      </c>
    </row>
    <row r="176" ht="12.75">
      <c r="B176" s="12" t="s">
        <v>105</v>
      </c>
    </row>
    <row r="177" ht="12.75">
      <c r="B177" t="s">
        <v>174</v>
      </c>
    </row>
    <row r="178" spans="2:5" ht="12.75">
      <c r="B178" t="s">
        <v>136</v>
      </c>
      <c r="E178" s="34">
        <v>0</v>
      </c>
    </row>
    <row r="179" spans="2:5" ht="12.75">
      <c r="B179" s="6" t="s">
        <v>124</v>
      </c>
      <c r="E179" s="34">
        <v>0</v>
      </c>
    </row>
    <row r="180" spans="2:5" ht="12.75">
      <c r="B180" s="13" t="s">
        <v>107</v>
      </c>
      <c r="E180" s="37"/>
    </row>
    <row r="181" spans="2:5" ht="12.75">
      <c r="B181" t="s">
        <v>109</v>
      </c>
      <c r="E181" s="38">
        <f>+Cálculo!F421</f>
        <v>0</v>
      </c>
    </row>
    <row r="182" spans="2:5" ht="12.75">
      <c r="B182" t="s">
        <v>108</v>
      </c>
      <c r="E182" s="35">
        <f>+Cálculo!F422</f>
        <v>0</v>
      </c>
    </row>
    <row r="184" spans="1:2" ht="12.75">
      <c r="A184">
        <v>15</v>
      </c>
      <c r="B184" s="4" t="s">
        <v>140</v>
      </c>
    </row>
    <row r="186" ht="12.75">
      <c r="B186" s="12" t="s">
        <v>105</v>
      </c>
    </row>
    <row r="187" ht="12.75">
      <c r="B187" t="s">
        <v>174</v>
      </c>
    </row>
    <row r="188" spans="2:4" ht="12.75">
      <c r="B188" t="s">
        <v>136</v>
      </c>
      <c r="D188" s="34">
        <v>0</v>
      </c>
    </row>
    <row r="189" spans="2:4" ht="12.75">
      <c r="B189" s="6" t="s">
        <v>141</v>
      </c>
      <c r="D189" s="34">
        <v>0</v>
      </c>
    </row>
    <row r="190" spans="2:6" ht="12.75">
      <c r="B190" t="s">
        <v>169</v>
      </c>
      <c r="D190" s="34">
        <v>0</v>
      </c>
      <c r="E190" t="s">
        <v>66</v>
      </c>
      <c r="F190">
        <v>1</v>
      </c>
    </row>
    <row r="191" spans="4:6" ht="12.75">
      <c r="D191" s="37"/>
      <c r="E191" t="s">
        <v>67</v>
      </c>
      <c r="F191">
        <v>2</v>
      </c>
    </row>
    <row r="192" spans="4:6" ht="12.75">
      <c r="D192" s="37"/>
      <c r="E192" t="s">
        <v>68</v>
      </c>
      <c r="F192">
        <v>3</v>
      </c>
    </row>
    <row r="193" spans="2:4" ht="12.75">
      <c r="B193" s="13" t="s">
        <v>107</v>
      </c>
      <c r="D193" s="37"/>
    </row>
    <row r="194" spans="2:4" ht="12.75">
      <c r="B194" t="s">
        <v>109</v>
      </c>
      <c r="D194" s="38">
        <f>SUM(Cálculo!F459:H459)</f>
        <v>0</v>
      </c>
    </row>
    <row r="195" spans="2:4" ht="12.75">
      <c r="B195" t="s">
        <v>108</v>
      </c>
      <c r="D195" s="35">
        <f>SUM(Cálculo!F460:H460)</f>
        <v>0</v>
      </c>
    </row>
    <row r="197" spans="1:2" ht="12.75">
      <c r="A197">
        <v>16</v>
      </c>
      <c r="B197" s="4" t="s">
        <v>142</v>
      </c>
    </row>
    <row r="198" ht="12.75">
      <c r="B198" t="s">
        <v>86</v>
      </c>
    </row>
    <row r="199" ht="12.75">
      <c r="B199" t="s">
        <v>87</v>
      </c>
    </row>
    <row r="201" ht="12.75">
      <c r="B201" s="12" t="s">
        <v>105</v>
      </c>
    </row>
    <row r="202" spans="2:6" ht="12.75">
      <c r="B202" s="6" t="s">
        <v>143</v>
      </c>
      <c r="F202" s="34">
        <v>0</v>
      </c>
    </row>
    <row r="203" spans="2:6" ht="12.75">
      <c r="B203" s="13" t="s">
        <v>107</v>
      </c>
      <c r="F203" s="37"/>
    </row>
    <row r="204" spans="2:6" ht="12.75">
      <c r="B204" t="s">
        <v>109</v>
      </c>
      <c r="F204" s="38">
        <f>+Cálculo!F471</f>
        <v>0</v>
      </c>
    </row>
    <row r="205" spans="2:6" ht="12.75">
      <c r="B205" t="s">
        <v>108</v>
      </c>
      <c r="F205" s="35">
        <f>+Cálculo!F472</f>
        <v>0</v>
      </c>
    </row>
    <row r="207" spans="1:2" ht="12.75">
      <c r="A207">
        <v>17</v>
      </c>
      <c r="B207" s="4" t="s">
        <v>145</v>
      </c>
    </row>
    <row r="209" ht="12.75">
      <c r="B209" s="12" t="s">
        <v>105</v>
      </c>
    </row>
    <row r="210" spans="2:4" ht="12.75">
      <c r="B210" s="6" t="s">
        <v>88</v>
      </c>
      <c r="D210" s="34">
        <v>12199250</v>
      </c>
    </row>
    <row r="211" spans="2:4" ht="12.75">
      <c r="B211" s="13" t="s">
        <v>107</v>
      </c>
      <c r="D211" s="37"/>
    </row>
    <row r="212" spans="2:4" ht="12.75">
      <c r="B212" t="s">
        <v>109</v>
      </c>
      <c r="D212" s="38">
        <f>+Cálculo!F491</f>
        <v>318748.75</v>
      </c>
    </row>
    <row r="213" spans="2:4" ht="12.75">
      <c r="B213" t="s">
        <v>108</v>
      </c>
      <c r="D213" s="35">
        <f>+Cálculo!F492</f>
        <v>6374.975</v>
      </c>
    </row>
    <row r="214" spans="2:4" ht="12.75">
      <c r="B214" s="4"/>
      <c r="D214" s="37"/>
    </row>
    <row r="215" spans="1:4" ht="12.75">
      <c r="A215">
        <v>18</v>
      </c>
      <c r="B215" s="4" t="s">
        <v>146</v>
      </c>
      <c r="D215" s="37"/>
    </row>
    <row r="216" spans="2:4" ht="12.75">
      <c r="B216" s="4" t="s">
        <v>147</v>
      </c>
      <c r="D216" s="37"/>
    </row>
    <row r="217" ht="12.75">
      <c r="D217" s="37"/>
    </row>
    <row r="218" spans="2:4" ht="12.75">
      <c r="B218" s="12" t="s">
        <v>105</v>
      </c>
      <c r="D218" s="37"/>
    </row>
    <row r="219" spans="2:4" ht="12.75">
      <c r="B219" s="6" t="s">
        <v>88</v>
      </c>
      <c r="D219" s="34">
        <v>0</v>
      </c>
    </row>
    <row r="220" spans="2:4" ht="12.75">
      <c r="B220" s="13" t="s">
        <v>107</v>
      </c>
      <c r="D220" s="37"/>
    </row>
    <row r="221" spans="2:4" ht="12.75">
      <c r="B221" t="s">
        <v>109</v>
      </c>
      <c r="D221" s="38">
        <f>+Cálculo!F513</f>
        <v>0</v>
      </c>
    </row>
    <row r="222" spans="2:4" ht="12.75">
      <c r="B222" t="s">
        <v>108</v>
      </c>
      <c r="D222" s="35">
        <f>+Cálculo!F514</f>
        <v>0</v>
      </c>
    </row>
    <row r="223" spans="2:4" ht="12.75">
      <c r="B223" s="4"/>
      <c r="D223" s="37"/>
    </row>
    <row r="224" ht="12.75">
      <c r="D224" s="37"/>
    </row>
    <row r="225" spans="1:4" ht="12.75">
      <c r="A225">
        <v>19</v>
      </c>
      <c r="B225" s="4" t="s">
        <v>148</v>
      </c>
      <c r="D225" s="37"/>
    </row>
    <row r="226" spans="2:4" ht="12.75">
      <c r="B226" s="4"/>
      <c r="D226" s="37"/>
    </row>
    <row r="227" spans="2:4" ht="12.75">
      <c r="B227" s="12" t="s">
        <v>105</v>
      </c>
      <c r="D227" s="37"/>
    </row>
    <row r="228" spans="2:4" ht="12.75">
      <c r="B228" s="6" t="s">
        <v>88</v>
      </c>
      <c r="D228" s="34">
        <v>0</v>
      </c>
    </row>
    <row r="229" spans="2:4" ht="12.75">
      <c r="B229" s="13" t="s">
        <v>107</v>
      </c>
      <c r="D229" s="37"/>
    </row>
    <row r="230" spans="2:4" ht="12.75">
      <c r="B230" t="s">
        <v>109</v>
      </c>
      <c r="D230" s="38">
        <f>+Cálculo!F534</f>
        <v>0</v>
      </c>
    </row>
    <row r="231" spans="2:4" ht="12.75">
      <c r="B231" t="s">
        <v>108</v>
      </c>
      <c r="D231" s="35">
        <f>+Cálculo!F535</f>
        <v>0</v>
      </c>
    </row>
    <row r="232" ht="12.75">
      <c r="D232" s="37"/>
    </row>
    <row r="233" spans="1:4" ht="12.75">
      <c r="A233">
        <v>20</v>
      </c>
      <c r="B233" s="4" t="s">
        <v>149</v>
      </c>
      <c r="D233" s="37"/>
    </row>
    <row r="234" ht="12.75">
      <c r="D234" s="37"/>
    </row>
    <row r="235" spans="2:4" ht="12.75">
      <c r="B235" s="12" t="s">
        <v>105</v>
      </c>
      <c r="D235" s="37"/>
    </row>
    <row r="236" spans="2:4" ht="12.75">
      <c r="B236" s="6" t="s">
        <v>88</v>
      </c>
      <c r="D236" s="34">
        <v>0</v>
      </c>
    </row>
    <row r="237" spans="2:4" ht="12.75">
      <c r="B237" s="13" t="s">
        <v>107</v>
      </c>
      <c r="D237" s="37"/>
    </row>
    <row r="238" spans="2:4" ht="12.75">
      <c r="B238" t="s">
        <v>109</v>
      </c>
      <c r="D238" s="38">
        <f>+Cálculo!F559</f>
        <v>0</v>
      </c>
    </row>
    <row r="239" spans="2:4" ht="12.75">
      <c r="B239" t="s">
        <v>108</v>
      </c>
      <c r="D239" s="35">
        <f>+Cálculo!F560</f>
        <v>0</v>
      </c>
    </row>
    <row r="240" spans="2:4" ht="12.75">
      <c r="B240" s="4"/>
      <c r="D240" s="37"/>
    </row>
    <row r="241" spans="1:4" ht="12.75">
      <c r="A241">
        <v>21</v>
      </c>
      <c r="B241" s="4" t="s">
        <v>150</v>
      </c>
      <c r="D241" s="37"/>
    </row>
    <row r="242" ht="12.75">
      <c r="D242" s="37"/>
    </row>
    <row r="243" spans="2:4" ht="12.75">
      <c r="B243" s="12" t="s">
        <v>105</v>
      </c>
      <c r="D243" s="37"/>
    </row>
    <row r="244" spans="2:4" ht="12.75">
      <c r="B244" s="6" t="s">
        <v>88</v>
      </c>
      <c r="D244" s="34">
        <v>0</v>
      </c>
    </row>
    <row r="245" spans="2:4" ht="12.75">
      <c r="B245" s="13" t="s">
        <v>107</v>
      </c>
      <c r="D245" s="37"/>
    </row>
    <row r="246" spans="2:4" ht="12.75">
      <c r="B246" t="s">
        <v>109</v>
      </c>
      <c r="D246" s="38">
        <f>+Cálculo!F585</f>
        <v>0</v>
      </c>
    </row>
    <row r="247" spans="2:4" ht="12.75">
      <c r="B247" t="s">
        <v>108</v>
      </c>
      <c r="D247" s="35">
        <f>+Cálculo!F586</f>
        <v>0</v>
      </c>
    </row>
    <row r="248" spans="2:4" ht="12.75">
      <c r="B248" s="4"/>
      <c r="D248" s="37"/>
    </row>
    <row r="249" ht="12.75">
      <c r="D249" s="37"/>
    </row>
    <row r="250" spans="1:4" ht="12.75">
      <c r="A250">
        <v>22</v>
      </c>
      <c r="B250" s="4" t="s">
        <v>151</v>
      </c>
      <c r="D250" s="37"/>
    </row>
    <row r="251" spans="2:4" ht="12.75">
      <c r="B251" s="4" t="s">
        <v>152</v>
      </c>
      <c r="D251" s="37"/>
    </row>
    <row r="252" spans="2:4" ht="12.75">
      <c r="B252" s="4" t="s">
        <v>153</v>
      </c>
      <c r="D252" s="37"/>
    </row>
    <row r="253" spans="2:4" ht="12.75">
      <c r="B253" s="12" t="s">
        <v>105</v>
      </c>
      <c r="D253" s="37"/>
    </row>
    <row r="254" spans="2:4" ht="12.75">
      <c r="B254" s="6" t="s">
        <v>88</v>
      </c>
      <c r="D254" s="34">
        <v>0</v>
      </c>
    </row>
    <row r="255" spans="2:4" ht="12.75">
      <c r="B255" s="13" t="s">
        <v>107</v>
      </c>
      <c r="D255" s="37"/>
    </row>
    <row r="256" spans="2:4" ht="12.75">
      <c r="B256" t="s">
        <v>109</v>
      </c>
      <c r="D256" s="38">
        <f>+Cálculo!F614</f>
        <v>0</v>
      </c>
    </row>
    <row r="257" spans="2:4" ht="12.75">
      <c r="B257" t="s">
        <v>108</v>
      </c>
      <c r="D257" s="35">
        <f>+Cálculo!F615</f>
        <v>0</v>
      </c>
    </row>
    <row r="258" ht="12.75">
      <c r="B258" s="4"/>
    </row>
    <row r="259" ht="12.75">
      <c r="E259" s="2"/>
    </row>
    <row r="260" spans="1:2" ht="12.75">
      <c r="A260">
        <v>23</v>
      </c>
      <c r="B260" s="4" t="s">
        <v>104</v>
      </c>
    </row>
    <row r="261" ht="12.75">
      <c r="B261" s="4"/>
    </row>
    <row r="262" ht="12.75">
      <c r="B262" s="12" t="s">
        <v>105</v>
      </c>
    </row>
    <row r="263" spans="2:6" ht="12.75">
      <c r="B263" s="6" t="s">
        <v>154</v>
      </c>
      <c r="F263" s="34">
        <v>0</v>
      </c>
    </row>
    <row r="264" spans="2:6" ht="12.75">
      <c r="B264" s="13" t="s">
        <v>107</v>
      </c>
      <c r="F264" s="37"/>
    </row>
    <row r="265" spans="2:6" ht="12.75">
      <c r="B265" t="s">
        <v>109</v>
      </c>
      <c r="F265" s="38">
        <f>+Cálculo!F632</f>
        <v>0</v>
      </c>
    </row>
    <row r="266" spans="2:6" ht="12.75">
      <c r="B266" t="s">
        <v>108</v>
      </c>
      <c r="F266" s="35">
        <f>+Cálculo!F633</f>
        <v>0</v>
      </c>
    </row>
    <row r="267" ht="12.75">
      <c r="F267" s="37"/>
    </row>
    <row r="268" spans="1:6" ht="12.75">
      <c r="A268">
        <v>24</v>
      </c>
      <c r="B268" s="4" t="s">
        <v>155</v>
      </c>
      <c r="F268" s="37"/>
    </row>
    <row r="269" spans="2:6" ht="12.75">
      <c r="B269" s="4" t="s">
        <v>156</v>
      </c>
      <c r="F269" s="37"/>
    </row>
    <row r="270" spans="2:6" ht="12.75">
      <c r="B270" s="4"/>
      <c r="F270" s="37"/>
    </row>
    <row r="271" spans="2:6" ht="12.75">
      <c r="B271" s="12" t="s">
        <v>105</v>
      </c>
      <c r="F271" s="37"/>
    </row>
    <row r="272" spans="2:6" ht="12.75">
      <c r="B272" s="6" t="s">
        <v>154</v>
      </c>
      <c r="F272" s="34">
        <v>0</v>
      </c>
    </row>
    <row r="273" spans="2:6" ht="12.75">
      <c r="B273" s="13" t="s">
        <v>107</v>
      </c>
      <c r="F273" s="37"/>
    </row>
    <row r="274" spans="2:6" ht="12.75">
      <c r="B274" t="s">
        <v>109</v>
      </c>
      <c r="F274" s="38">
        <f>+Cálculo!F657</f>
        <v>0</v>
      </c>
    </row>
    <row r="275" spans="2:6" ht="12.75">
      <c r="B275" t="s">
        <v>108</v>
      </c>
      <c r="F275" s="35">
        <f>+Cálculo!F658</f>
        <v>0</v>
      </c>
    </row>
    <row r="276" ht="12.75">
      <c r="F276" s="37"/>
    </row>
    <row r="277" spans="1:6" ht="12.75">
      <c r="A277">
        <v>25</v>
      </c>
      <c r="B277" s="4" t="s">
        <v>155</v>
      </c>
      <c r="F277" s="37"/>
    </row>
    <row r="278" spans="2:6" ht="12.75">
      <c r="B278" s="4" t="s">
        <v>157</v>
      </c>
      <c r="F278" s="37"/>
    </row>
    <row r="279" spans="2:6" ht="12.75">
      <c r="B279" s="4" t="s">
        <v>158</v>
      </c>
      <c r="F279" s="37"/>
    </row>
    <row r="280" spans="2:6" ht="12.75">
      <c r="B280" s="12" t="s">
        <v>105</v>
      </c>
      <c r="F280" s="37"/>
    </row>
    <row r="281" spans="2:6" ht="12.75">
      <c r="B281" s="6" t="s">
        <v>154</v>
      </c>
      <c r="F281" s="34">
        <v>0</v>
      </c>
    </row>
    <row r="282" spans="2:6" ht="12.75">
      <c r="B282" s="13" t="s">
        <v>107</v>
      </c>
      <c r="F282" s="37"/>
    </row>
    <row r="283" spans="2:6" ht="12.75">
      <c r="B283" t="s">
        <v>109</v>
      </c>
      <c r="F283" s="38">
        <f>+Cálculo!F684</f>
        <v>0</v>
      </c>
    </row>
    <row r="284" spans="2:6" ht="12.75">
      <c r="B284" t="s">
        <v>108</v>
      </c>
      <c r="F284" s="35">
        <f>+Cálculo!F685</f>
        <v>0</v>
      </c>
    </row>
    <row r="285" ht="12.75">
      <c r="F285" s="37"/>
    </row>
    <row r="286" spans="1:6" ht="12.75">
      <c r="A286">
        <v>26</v>
      </c>
      <c r="B286" s="4" t="s">
        <v>155</v>
      </c>
      <c r="F286" s="37"/>
    </row>
    <row r="287" spans="2:6" ht="12.75">
      <c r="B287" s="4" t="s">
        <v>157</v>
      </c>
      <c r="F287" s="37"/>
    </row>
    <row r="288" spans="2:6" ht="12.75">
      <c r="B288" s="4" t="s">
        <v>158</v>
      </c>
      <c r="F288" s="37"/>
    </row>
    <row r="289" spans="2:6" ht="12.75">
      <c r="B289" s="12" t="s">
        <v>105</v>
      </c>
      <c r="F289" s="37"/>
    </row>
    <row r="290" spans="2:6" ht="12.75">
      <c r="B290" s="6" t="s">
        <v>154</v>
      </c>
      <c r="F290" s="34">
        <v>0</v>
      </c>
    </row>
    <row r="291" spans="2:6" ht="12.75">
      <c r="B291" s="13" t="s">
        <v>107</v>
      </c>
      <c r="F291" s="37"/>
    </row>
    <row r="292" spans="2:6" ht="12.75">
      <c r="B292" t="s">
        <v>109</v>
      </c>
      <c r="F292" s="38">
        <f>+Cálculo!F711</f>
        <v>0</v>
      </c>
    </row>
    <row r="293" spans="2:6" ht="12.75">
      <c r="B293" t="s">
        <v>108</v>
      </c>
      <c r="F293" s="35">
        <f>+Cálculo!F712</f>
        <v>0</v>
      </c>
    </row>
  </sheetData>
  <sheetProtection/>
  <mergeCells count="2">
    <mergeCell ref="I54:L54"/>
    <mergeCell ref="N54:O54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8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4.57421875" style="0" customWidth="1"/>
    <col min="3" max="3" width="18.57421875" style="0" bestFit="1" customWidth="1"/>
    <col min="4" max="4" width="15.28125" style="0" customWidth="1"/>
    <col min="5" max="5" width="26.28125" style="0" customWidth="1"/>
    <col min="6" max="6" width="16.7109375" style="0" customWidth="1"/>
    <col min="7" max="7" width="11.140625" style="0" customWidth="1"/>
    <col min="8" max="8" width="12.140625" style="0" customWidth="1"/>
    <col min="9" max="9" width="13.57421875" style="0" customWidth="1"/>
    <col min="10" max="10" width="12.57421875" style="0" customWidth="1"/>
    <col min="11" max="11" width="12.7109375" style="0" customWidth="1"/>
  </cols>
  <sheetData>
    <row r="1" ht="12.75">
      <c r="B1" s="10" t="s">
        <v>103</v>
      </c>
    </row>
    <row r="2" spans="2:4" ht="12.75">
      <c r="B2" s="16" t="s">
        <v>118</v>
      </c>
      <c r="D2" s="41">
        <v>0.02</v>
      </c>
    </row>
    <row r="3" spans="3:12" ht="15">
      <c r="C3" s="48">
        <v>2022</v>
      </c>
      <c r="F3" s="45"/>
      <c r="L3" s="42"/>
    </row>
    <row r="4" spans="2:16" ht="15">
      <c r="B4" t="s">
        <v>1</v>
      </c>
      <c r="C4" s="49">
        <v>6.788</v>
      </c>
      <c r="F4" s="45"/>
      <c r="P4" s="42"/>
    </row>
    <row r="5" spans="2:16" ht="15">
      <c r="B5" t="s">
        <v>0</v>
      </c>
      <c r="C5" s="49">
        <v>15.285</v>
      </c>
      <c r="F5" s="45"/>
      <c r="P5" s="43"/>
    </row>
    <row r="6" spans="2:3" ht="15">
      <c r="B6" t="s">
        <v>2</v>
      </c>
      <c r="C6" s="49">
        <v>88.293</v>
      </c>
    </row>
    <row r="8" spans="2:3" ht="12.75">
      <c r="B8" s="11" t="s">
        <v>196</v>
      </c>
      <c r="C8">
        <v>3000</v>
      </c>
    </row>
    <row r="9" spans="1:2" ht="12.75">
      <c r="A9">
        <v>1</v>
      </c>
      <c r="B9" s="4" t="s">
        <v>180</v>
      </c>
    </row>
    <row r="10" ht="12.75">
      <c r="B10" t="s">
        <v>35</v>
      </c>
    </row>
    <row r="11" spans="2:11" ht="12.75">
      <c r="B11" t="s">
        <v>36</v>
      </c>
      <c r="D11" s="9">
        <f>+'Datos Resultado '!D16+'Datos Resultado '!D17/7</f>
        <v>0</v>
      </c>
      <c r="E11" s="2"/>
      <c r="F11" s="3"/>
      <c r="G11" s="3"/>
      <c r="H11" s="3"/>
      <c r="I11" s="3"/>
      <c r="J11" s="3"/>
      <c r="K11" s="3"/>
    </row>
    <row r="12" spans="2:11" ht="12.75">
      <c r="B12" t="s">
        <v>37</v>
      </c>
      <c r="D12" s="9">
        <f>+'Datos Resultado '!D18+'Datos Resultado '!D19/7</f>
        <v>0</v>
      </c>
      <c r="E12" s="2"/>
      <c r="F12" s="3"/>
      <c r="G12" s="3"/>
      <c r="H12" s="3"/>
      <c r="I12" s="3"/>
      <c r="J12" s="3"/>
      <c r="K12" s="3"/>
    </row>
    <row r="13" ht="12.75">
      <c r="F13" s="3"/>
    </row>
    <row r="14" spans="2:6" ht="12.75">
      <c r="B14" t="s">
        <v>38</v>
      </c>
      <c r="F14" s="3"/>
    </row>
    <row r="15" spans="2:6" ht="12.75">
      <c r="B15" t="s">
        <v>26</v>
      </c>
      <c r="F15" s="3"/>
    </row>
    <row r="16" spans="2:6" ht="12.75">
      <c r="B16" t="s">
        <v>27</v>
      </c>
      <c r="D16">
        <f>+'Datos Resultado '!D22+'Datos Resultado '!D23/7</f>
        <v>0</v>
      </c>
      <c r="E16" s="2"/>
      <c r="F16" s="3"/>
    </row>
    <row r="17" spans="2:6" ht="12.75">
      <c r="B17" t="s">
        <v>28</v>
      </c>
      <c r="D17">
        <f>+'Datos Resultado '!D25+'Datos Resultado '!D26/7</f>
        <v>0</v>
      </c>
      <c r="E17" s="2"/>
      <c r="F17" s="3"/>
    </row>
    <row r="18" ht="12.75">
      <c r="F18" s="3"/>
    </row>
    <row r="19" spans="2:6" ht="12.75">
      <c r="B19" t="s">
        <v>29</v>
      </c>
      <c r="F19" s="3"/>
    </row>
    <row r="20" spans="2:11" ht="12.75">
      <c r="B20" t="s">
        <v>27</v>
      </c>
      <c r="D20" s="9">
        <f>+'Datos Resultado '!D29+'Datos Resultado '!D30/7</f>
        <v>0</v>
      </c>
      <c r="E20" s="2"/>
      <c r="F20" s="3"/>
      <c r="K20" s="2"/>
    </row>
    <row r="21" spans="2:6" ht="12.75">
      <c r="B21" t="s">
        <v>28</v>
      </c>
      <c r="D21">
        <f>+'Datos Resultado '!D32+'Datos Resultado '!D33/7</f>
        <v>0</v>
      </c>
      <c r="E21" s="2"/>
      <c r="F21" s="3"/>
    </row>
    <row r="23" spans="2:6" ht="12.75">
      <c r="B23" t="s">
        <v>43</v>
      </c>
      <c r="E23" s="2"/>
      <c r="F23" s="3"/>
    </row>
    <row r="24" spans="5:11" ht="12.75">
      <c r="E24" s="2"/>
      <c r="F24" s="3"/>
      <c r="G24" s="3"/>
      <c r="H24" s="3"/>
      <c r="I24" s="3"/>
      <c r="J24" s="3"/>
      <c r="K24" s="3"/>
    </row>
    <row r="25" spans="2:11" ht="12.75">
      <c r="B25" t="s">
        <v>23</v>
      </c>
      <c r="D25" t="s">
        <v>34</v>
      </c>
      <c r="E25" s="2">
        <f>750*$C$5*D11</f>
        <v>0</v>
      </c>
      <c r="F25" s="3"/>
      <c r="G25" s="3"/>
      <c r="H25" s="3"/>
      <c r="I25" s="3"/>
      <c r="J25" s="3"/>
      <c r="K25" s="3"/>
    </row>
    <row r="26" spans="2:11" ht="12.75">
      <c r="B26" t="s">
        <v>24</v>
      </c>
      <c r="D26" t="s">
        <v>33</v>
      </c>
      <c r="E26" s="2">
        <f>1500*$C$5*D12</f>
        <v>0</v>
      </c>
      <c r="F26" s="3"/>
      <c r="G26" s="3"/>
      <c r="H26" s="3"/>
      <c r="I26" s="3"/>
      <c r="J26" s="3"/>
      <c r="K26" s="3"/>
    </row>
    <row r="27" ht="12.75">
      <c r="F27" s="3"/>
    </row>
    <row r="28" spans="2:6" ht="12.75">
      <c r="B28" t="s">
        <v>25</v>
      </c>
      <c r="F28" s="3"/>
    </row>
    <row r="29" spans="2:6" ht="12.75">
      <c r="B29" t="s">
        <v>26</v>
      </c>
      <c r="F29" s="3"/>
    </row>
    <row r="30" spans="2:6" ht="12.75">
      <c r="B30" t="s">
        <v>27</v>
      </c>
      <c r="D30" t="s">
        <v>33</v>
      </c>
      <c r="E30" s="2">
        <f>1500*$C$5*D16</f>
        <v>0</v>
      </c>
      <c r="F30" s="3"/>
    </row>
    <row r="31" spans="2:6" ht="12.75">
      <c r="B31" t="s">
        <v>28</v>
      </c>
      <c r="D31" t="s">
        <v>32</v>
      </c>
      <c r="E31" s="2">
        <f>1200*$C$5*D17</f>
        <v>0</v>
      </c>
      <c r="F31" s="3"/>
    </row>
    <row r="32" ht="12.75">
      <c r="F32" s="3"/>
    </row>
    <row r="33" spans="2:6" ht="12.75">
      <c r="B33" t="s">
        <v>29</v>
      </c>
      <c r="F33" s="3"/>
    </row>
    <row r="34" spans="2:6" ht="12.75">
      <c r="B34" t="s">
        <v>27</v>
      </c>
      <c r="D34" t="s">
        <v>31</v>
      </c>
      <c r="E34" s="2">
        <f>2250*$C$5*D20</f>
        <v>0</v>
      </c>
      <c r="F34" s="3"/>
    </row>
    <row r="35" spans="2:6" ht="12.75">
      <c r="B35" t="s">
        <v>28</v>
      </c>
      <c r="D35" t="s">
        <v>30</v>
      </c>
      <c r="E35" s="2">
        <f>1850*$C$5*D21</f>
        <v>0</v>
      </c>
      <c r="F35" s="3"/>
    </row>
    <row r="37" spans="2:6" ht="12.75">
      <c r="B37" t="s">
        <v>43</v>
      </c>
      <c r="F37" s="2">
        <f>SUM(E25:E35)</f>
        <v>0</v>
      </c>
    </row>
    <row r="39" spans="2:6" ht="12.75">
      <c r="B39" t="s">
        <v>44</v>
      </c>
      <c r="F39" s="14">
        <f>+F37</f>
        <v>0</v>
      </c>
    </row>
    <row r="40" spans="2:6" ht="12.75">
      <c r="B40" t="s">
        <v>108</v>
      </c>
      <c r="F40" s="17">
        <f>IF(F39*$D$2&gt;0,(IF(F39*$D$2&lt;$C$8,$C$8,F39*$D$2)),0)</f>
        <v>0</v>
      </c>
    </row>
    <row r="42" ht="12.75">
      <c r="C42" s="25"/>
    </row>
    <row r="43" spans="1:3" ht="12.75">
      <c r="A43">
        <v>2</v>
      </c>
      <c r="B43" s="4" t="s">
        <v>160</v>
      </c>
      <c r="C43" s="25"/>
    </row>
    <row r="44" ht="12.75">
      <c r="C44" s="25"/>
    </row>
    <row r="45" spans="2:3" ht="12.75">
      <c r="B45" t="s">
        <v>106</v>
      </c>
      <c r="C45" s="26">
        <f>+'Datos Resultado '!E40</f>
        <v>0</v>
      </c>
    </row>
    <row r="46" ht="12.75">
      <c r="C46" s="25"/>
    </row>
    <row r="47" spans="2:7" ht="12.75">
      <c r="B47" t="s">
        <v>15</v>
      </c>
      <c r="G47">
        <v>0.1</v>
      </c>
    </row>
    <row r="49" ht="12.75">
      <c r="G49" t="s">
        <v>9</v>
      </c>
    </row>
    <row r="50" spans="7:11" ht="12.75">
      <c r="G50" t="s">
        <v>10</v>
      </c>
      <c r="H50" t="s">
        <v>11</v>
      </c>
      <c r="I50" t="s">
        <v>12</v>
      </c>
      <c r="J50" t="s">
        <v>13</v>
      </c>
      <c r="K50" t="s">
        <v>14</v>
      </c>
    </row>
    <row r="51" spans="2:11" ht="12.75">
      <c r="B51" t="s">
        <v>3</v>
      </c>
      <c r="D51" s="25">
        <f>+$C$4*1000000</f>
        <v>6788000</v>
      </c>
      <c r="E51" s="25">
        <f>+IF(C45&gt;D51,D51,C45)</f>
        <v>0</v>
      </c>
      <c r="G51">
        <v>0.07</v>
      </c>
      <c r="H51">
        <v>0.08</v>
      </c>
      <c r="I51">
        <v>0.09</v>
      </c>
      <c r="J51">
        <v>0.1</v>
      </c>
      <c r="K51">
        <v>0.11</v>
      </c>
    </row>
    <row r="52" spans="4:5" ht="12.75">
      <c r="D52" s="25"/>
      <c r="E52" s="25"/>
    </row>
    <row r="53" spans="2:11" ht="12.75">
      <c r="B53" t="s">
        <v>4</v>
      </c>
      <c r="D53" s="25">
        <f>+$C$4*1000000</f>
        <v>6788000</v>
      </c>
      <c r="E53" s="25">
        <f>+IF(C45&lt;D54,IF(C45&gt;D53,C45-D53,0),D54-D53)</f>
        <v>0</v>
      </c>
      <c r="G53">
        <v>0.06</v>
      </c>
      <c r="H53">
        <v>0.07</v>
      </c>
      <c r="I53">
        <v>0.08</v>
      </c>
      <c r="J53">
        <v>0.09</v>
      </c>
      <c r="K53">
        <v>0.1</v>
      </c>
    </row>
    <row r="54" spans="2:5" ht="12.75">
      <c r="B54" t="s">
        <v>5</v>
      </c>
      <c r="D54" s="25">
        <f>+$C$4*10000000</f>
        <v>67880000</v>
      </c>
      <c r="E54" s="25"/>
    </row>
    <row r="55" spans="4:5" ht="12.75">
      <c r="D55" s="25"/>
      <c r="E55" s="25"/>
    </row>
    <row r="56" spans="2:11" ht="12.75">
      <c r="B56" t="s">
        <v>6</v>
      </c>
      <c r="D56" s="25">
        <f>+$C$4*10000000</f>
        <v>67880000</v>
      </c>
      <c r="E56" s="25">
        <f>+IF(C45&lt;D57,IF(C45&gt;D56,C45-D56,0),D57-D56)</f>
        <v>0</v>
      </c>
      <c r="G56">
        <v>0.05</v>
      </c>
      <c r="H56">
        <v>0.06</v>
      </c>
      <c r="I56">
        <v>0.07</v>
      </c>
      <c r="J56">
        <v>0.08</v>
      </c>
      <c r="K56">
        <v>0.09</v>
      </c>
    </row>
    <row r="57" spans="2:5" ht="12.75">
      <c r="B57" t="s">
        <v>7</v>
      </c>
      <c r="D57" s="25">
        <f>+$C$4*100000000</f>
        <v>678800000</v>
      </c>
      <c r="E57" s="25"/>
    </row>
    <row r="59" spans="2:11" ht="12.75">
      <c r="B59" t="s">
        <v>8</v>
      </c>
      <c r="D59" s="25">
        <f>+$C$4*100000000</f>
        <v>678800000</v>
      </c>
      <c r="E59" s="25">
        <f>+IF(C45&gt;D59,C45-D59,0)</f>
        <v>0</v>
      </c>
      <c r="G59">
        <v>0.03</v>
      </c>
      <c r="H59">
        <v>0.04</v>
      </c>
      <c r="I59">
        <v>0.05</v>
      </c>
      <c r="J59">
        <v>0.06</v>
      </c>
      <c r="K59">
        <v>0.07</v>
      </c>
    </row>
    <row r="60" spans="4:5" ht="12.75">
      <c r="D60" s="25"/>
      <c r="E60" s="25"/>
    </row>
    <row r="61" spans="4:5" ht="12.75">
      <c r="D61" s="25"/>
      <c r="E61" s="2">
        <f>SUM(E51:E59)</f>
        <v>0</v>
      </c>
    </row>
    <row r="62" ht="12.75">
      <c r="B62" t="s">
        <v>20</v>
      </c>
    </row>
    <row r="63" spans="2:11" ht="12.75">
      <c r="B63" s="20" t="s">
        <v>15</v>
      </c>
      <c r="C63" s="20"/>
      <c r="D63" s="20"/>
      <c r="E63" s="22"/>
      <c r="F63" s="22"/>
      <c r="G63" s="30">
        <f>IF('Datos Resultado '!E41=1,+$G47*(G$51*$E$51+G$53*$E$53+G$56*$E$56+G$59*$E$59),0)</f>
        <v>0</v>
      </c>
      <c r="H63" s="30">
        <f>IF('Datos Resultado '!E41=2,+$G47*(H$51*$E$51+H$53*$E$53+H$56*$E$56+H$59*$E$59),0)</f>
        <v>0</v>
      </c>
      <c r="I63" s="30">
        <f>IF('Datos Resultado '!E41=3,+$G47*(I$51*$E$51+I$53*$E$53+I$56*$E$56+I$59*$E$59),0)</f>
        <v>0</v>
      </c>
      <c r="J63" s="30">
        <f>IF('Datos Resultado '!E41=4,+$G47*(J$51*$E$51+J$53*$E$53+J$56*$E$56+J$59*$E$59),0)</f>
        <v>0</v>
      </c>
      <c r="K63" s="30">
        <f>IF('Datos Resultado '!E41=5,+$G47*(K$51*$E$51+K$53*$E$53+K$56*$E$56+K$59*$E$59),0)</f>
        <v>0</v>
      </c>
    </row>
    <row r="64" spans="2:12" ht="12.75">
      <c r="B64" s="20" t="s">
        <v>40</v>
      </c>
      <c r="D64" t="s">
        <v>162</v>
      </c>
      <c r="E64" s="2">
        <f>500*C5</f>
        <v>7642.5</v>
      </c>
      <c r="F64" s="2"/>
      <c r="H64" s="2"/>
      <c r="I64" s="2"/>
      <c r="J64" s="2"/>
      <c r="K64" s="2"/>
      <c r="L64" s="2"/>
    </row>
    <row r="65" spans="2:12" ht="12.75">
      <c r="B65" s="20" t="s">
        <v>163</v>
      </c>
      <c r="E65" s="2"/>
      <c r="F65" s="2"/>
      <c r="G65" s="14">
        <f>IF(G$63&gt;0,IF(G$63&gt;$E$64,G$63,$E$64),0)</f>
        <v>0</v>
      </c>
      <c r="H65" s="14">
        <f>IF(H$63&gt;0,IF(H$63&gt;$E$64,H$63,$E$64),0)</f>
        <v>0</v>
      </c>
      <c r="I65" s="14">
        <f>IF(I$63&gt;0,IF(I$63&gt;$E$64,I$63,$E$64),0)</f>
        <v>0</v>
      </c>
      <c r="J65" s="14">
        <f>IF(J$63&gt;0,IF(J$63&gt;$E$64,J$63,$E$64),0)</f>
        <v>0</v>
      </c>
      <c r="K65" s="14">
        <f>IF(K$63&gt;0,IF(K$63&gt;$E$64,K$63,$E$64),0)</f>
        <v>0</v>
      </c>
      <c r="L65" s="2"/>
    </row>
    <row r="66" spans="5:12" ht="12.75">
      <c r="E66" s="2"/>
      <c r="F66" s="2"/>
      <c r="H66" s="2"/>
      <c r="I66" s="2"/>
      <c r="J66" s="2"/>
      <c r="K66" s="2"/>
      <c r="L66" s="2"/>
    </row>
    <row r="67" spans="2:12" ht="12.75">
      <c r="B67" t="s">
        <v>120</v>
      </c>
      <c r="E67" s="2"/>
      <c r="F67" s="2"/>
      <c r="G67" s="17">
        <f>IF(G65*$D$2&gt;0,(IF(G65*$D$2&lt;$C$8,$C$8,G65*$D$2)),0)</f>
        <v>0</v>
      </c>
      <c r="H67" s="17">
        <f>IF(H65*$D$2&gt;0,(IF(H65*$D$2&lt;$C$8,$C$8,H65*$D$2)),0)</f>
        <v>0</v>
      </c>
      <c r="I67" s="17">
        <f>IF(I65*$D$2&gt;0,(IF(I65*$D$2&lt;$C$8,$C$8,I65*$D$2)),0)</f>
        <v>0</v>
      </c>
      <c r="J67" s="17">
        <f>IF(J65*$D$2&gt;0,(IF(J65*$D$2&lt;$C$8,$C$8,J65*$D$2)),0)</f>
        <v>0</v>
      </c>
      <c r="K67" s="17">
        <f>IF(K65*$D$2&gt;0,(IF(K65*$D$2&lt;$C$8,$C$8,K65*$D$2)),0)</f>
        <v>0</v>
      </c>
      <c r="L67" s="2"/>
    </row>
    <row r="68" spans="5:12" ht="12.75">
      <c r="E68" s="2"/>
      <c r="F68" s="2"/>
      <c r="G68" s="2"/>
      <c r="H68" s="2"/>
      <c r="I68" s="2"/>
      <c r="J68" s="2"/>
      <c r="K68" s="2"/>
      <c r="L68" s="2"/>
    </row>
    <row r="69" spans="1:2" ht="12.75">
      <c r="A69">
        <v>3</v>
      </c>
      <c r="B69" s="4" t="s">
        <v>161</v>
      </c>
    </row>
    <row r="70" ht="12.75">
      <c r="C70" s="25"/>
    </row>
    <row r="71" spans="2:3" ht="12.75">
      <c r="B71" t="s">
        <v>106</v>
      </c>
      <c r="C71" s="26">
        <f>+'Datos Resultado '!E48</f>
        <v>12199250</v>
      </c>
    </row>
    <row r="72" ht="12.75">
      <c r="C72" s="25"/>
    </row>
    <row r="73" spans="2:7" ht="12.75">
      <c r="B73" t="s">
        <v>16</v>
      </c>
      <c r="G73">
        <v>0.4</v>
      </c>
    </row>
    <row r="75" ht="12.75">
      <c r="G75" t="s">
        <v>9</v>
      </c>
    </row>
    <row r="76" spans="7:11" ht="12.75">
      <c r="G76" t="s">
        <v>10</v>
      </c>
      <c r="H76" t="s">
        <v>11</v>
      </c>
      <c r="I76" t="s">
        <v>12</v>
      </c>
      <c r="J76" t="s">
        <v>13</v>
      </c>
      <c r="K76" t="s">
        <v>14</v>
      </c>
    </row>
    <row r="77" spans="2:11" ht="12.75">
      <c r="B77" t="s">
        <v>3</v>
      </c>
      <c r="D77" s="25">
        <f>+$C$4*1000000</f>
        <v>6788000</v>
      </c>
      <c r="E77" s="25">
        <f>+IF(C71&gt;D77,D77,C71)</f>
        <v>6788000</v>
      </c>
      <c r="G77">
        <v>0.07</v>
      </c>
      <c r="H77">
        <v>0.08</v>
      </c>
      <c r="I77">
        <v>0.09</v>
      </c>
      <c r="J77">
        <v>0.1</v>
      </c>
      <c r="K77">
        <v>0.11</v>
      </c>
    </row>
    <row r="78" spans="4:5" ht="12.75">
      <c r="D78" s="25"/>
      <c r="E78" s="25"/>
    </row>
    <row r="79" spans="2:11" ht="12.75">
      <c r="B79" t="s">
        <v>4</v>
      </c>
      <c r="D79" s="25">
        <f>+$C$4*1000000</f>
        <v>6788000</v>
      </c>
      <c r="E79" s="25">
        <f>+IF(C71&lt;D80,IF(C71&gt;D79,C71-D79,0),D80-D79)</f>
        <v>5411250</v>
      </c>
      <c r="G79">
        <v>0.06</v>
      </c>
      <c r="H79">
        <v>0.07</v>
      </c>
      <c r="I79">
        <v>0.08</v>
      </c>
      <c r="J79">
        <v>0.09</v>
      </c>
      <c r="K79">
        <v>0.1</v>
      </c>
    </row>
    <row r="80" spans="2:5" ht="12.75">
      <c r="B80" t="s">
        <v>5</v>
      </c>
      <c r="D80" s="25">
        <f>+$C$4*10000000</f>
        <v>67880000</v>
      </c>
      <c r="E80" s="25"/>
    </row>
    <row r="81" spans="4:5" ht="12.75">
      <c r="D81" s="25"/>
      <c r="E81" s="25"/>
    </row>
    <row r="82" spans="2:11" ht="12.75">
      <c r="B82" t="s">
        <v>6</v>
      </c>
      <c r="D82" s="25">
        <f>+$C$4*10000000</f>
        <v>67880000</v>
      </c>
      <c r="E82" s="25">
        <f>+IF(C71&lt;D83,IF(C71&gt;D82,C71-D82,0),D83-D82)</f>
        <v>0</v>
      </c>
      <c r="G82">
        <v>0.05</v>
      </c>
      <c r="H82">
        <v>0.06</v>
      </c>
      <c r="I82">
        <v>0.07</v>
      </c>
      <c r="J82">
        <v>0.08</v>
      </c>
      <c r="K82">
        <v>0.09</v>
      </c>
    </row>
    <row r="83" spans="2:5" ht="12.75">
      <c r="B83" t="s">
        <v>7</v>
      </c>
      <c r="D83" s="25">
        <f>+$C$4*100000000</f>
        <v>678800000</v>
      </c>
      <c r="E83" s="25"/>
    </row>
    <row r="85" spans="2:11" ht="12.75">
      <c r="B85" t="s">
        <v>8</v>
      </c>
      <c r="D85" s="25">
        <f>+$C$4*100000000</f>
        <v>678800000</v>
      </c>
      <c r="E85" s="25">
        <f>+IF(C71&gt;D85,C71-D85,0)</f>
        <v>0</v>
      </c>
      <c r="G85">
        <v>0.03</v>
      </c>
      <c r="H85">
        <v>0.04</v>
      </c>
      <c r="I85">
        <v>0.05</v>
      </c>
      <c r="J85">
        <v>0.06</v>
      </c>
      <c r="K85">
        <v>0.07</v>
      </c>
    </row>
    <row r="86" spans="4:5" ht="12.75">
      <c r="D86" s="25"/>
      <c r="E86" s="25"/>
    </row>
    <row r="87" spans="4:5" ht="12.75">
      <c r="D87" s="25"/>
      <c r="E87" s="2">
        <f>SUM(E77:E85)</f>
        <v>12199250</v>
      </c>
    </row>
    <row r="88" ht="12.75">
      <c r="B88" t="s">
        <v>20</v>
      </c>
    </row>
    <row r="89" spans="2:11" ht="12.75">
      <c r="B89" t="s">
        <v>16</v>
      </c>
      <c r="E89" s="2"/>
      <c r="F89" s="2"/>
      <c r="G89" s="30">
        <f>IF('Datos Resultado '!E49=1,+$G73*(G$77*$E$77+G$79*$E$79+G$82*$E$82+G$85*$E$85),0)</f>
        <v>0</v>
      </c>
      <c r="H89" s="30">
        <f>IF('Datos Resultado '!E49=2,+$G73*(H$77*$E$77+H$79*$E$79+H$82*$E$82+H$85*$E$85),0)</f>
        <v>0</v>
      </c>
      <c r="I89" s="30">
        <f>IF('Datos Resultado '!E49=3,+$G73*(I$77*$E$77+I$79*$E$79+I$82*$E$82+I$85*$E$85),0)</f>
        <v>0</v>
      </c>
      <c r="J89" s="30">
        <f>IF('Datos Resultado '!E49=4,+$G73*(J$77*$E$77+J$79*$E$79+J$82*$E$82+J$85*$E$85),0)</f>
        <v>466325</v>
      </c>
      <c r="K89" s="30">
        <f>IF('Datos Resultado '!E49=5,+$G73*(K$77*$E$77+K$79*$E$79+K$82*$E$82+K$85*$E$85),0)</f>
        <v>0</v>
      </c>
    </row>
    <row r="90" spans="2:12" ht="12.75">
      <c r="B90" s="20" t="s">
        <v>40</v>
      </c>
      <c r="D90" t="s">
        <v>162</v>
      </c>
      <c r="E90" s="2">
        <f>500*C5</f>
        <v>7642.5</v>
      </c>
      <c r="F90" s="2"/>
      <c r="H90" s="2"/>
      <c r="I90" s="2"/>
      <c r="J90" s="2"/>
      <c r="K90" s="2"/>
      <c r="L90" s="2"/>
    </row>
    <row r="91" spans="2:12" ht="12.75">
      <c r="B91" s="20" t="s">
        <v>178</v>
      </c>
      <c r="E91" s="2"/>
      <c r="F91" s="2"/>
      <c r="G91" s="14">
        <f>IF(G$89&gt;0,IF(G$89&gt;$E$90,G$89,$E$90),0)</f>
        <v>0</v>
      </c>
      <c r="H91" s="14">
        <f>IF(H$89&gt;0,IF(H$89&gt;$E$90,H$89,$E$90),0)</f>
        <v>0</v>
      </c>
      <c r="I91" s="14">
        <f>IF(I$89&gt;0,IF(I$89&gt;$E$90,I$89,$E$90),0)</f>
        <v>0</v>
      </c>
      <c r="J91" s="14">
        <f>IF(J$89&gt;0,IF(J$89&gt;$E$90,J$89,$E$90),0)</f>
        <v>466325</v>
      </c>
      <c r="K91" s="14">
        <f>IF(K$89&gt;0,IF(K$89&gt;$E$90,K$89,$E$90),0)</f>
        <v>0</v>
      </c>
      <c r="L91" s="2"/>
    </row>
    <row r="92" spans="5:12" ht="12.75">
      <c r="E92" s="2"/>
      <c r="F92" s="2"/>
      <c r="G92" s="2"/>
      <c r="H92" s="2"/>
      <c r="I92" s="2"/>
      <c r="J92" s="2"/>
      <c r="K92" s="2"/>
      <c r="L92" s="2"/>
    </row>
    <row r="93" spans="2:12" ht="12.75">
      <c r="B93" t="s">
        <v>120</v>
      </c>
      <c r="E93" s="2"/>
      <c r="F93" s="2"/>
      <c r="G93" s="17">
        <f>IF(G91*$D$2&gt;0,(IF(G91*$D$2&lt;$C$8,$C$8,G91*$D$2)),0)</f>
        <v>0</v>
      </c>
      <c r="H93" s="17">
        <f>IF(H91*$D$2&gt;0,(IF(H91*$D$2&lt;$C$8,$C$8,H91*$D$2)),0)</f>
        <v>0</v>
      </c>
      <c r="I93" s="17">
        <f>IF(I91*$D$2&gt;0,(IF(I91*$D$2&lt;$C$8,$C$8,I91*$D$2)),0)</f>
        <v>0</v>
      </c>
      <c r="J93" s="17">
        <f>IF(J91*$D$2&gt;0,(IF(J91*$D$2&lt;$C$8,$C$8,J91*$D$2)),0)</f>
        <v>9326.5</v>
      </c>
      <c r="K93" s="17">
        <f>IF(K91*$D$2&gt;0,(IF(K91*$D$2&lt;$C$8,$C$8,K91*$D$2)),0)</f>
        <v>0</v>
      </c>
      <c r="L93" s="2"/>
    </row>
    <row r="94" spans="5:12" ht="12.75">
      <c r="E94" s="2"/>
      <c r="F94" s="2"/>
      <c r="G94" s="2"/>
      <c r="H94" s="2"/>
      <c r="I94" s="2"/>
      <c r="J94" s="2"/>
      <c r="K94" s="2"/>
      <c r="L94" s="2"/>
    </row>
    <row r="95" spans="1:2" ht="12.75">
      <c r="A95">
        <v>4</v>
      </c>
      <c r="B95" s="4" t="s">
        <v>164</v>
      </c>
    </row>
    <row r="96" ht="12.75">
      <c r="C96" s="1"/>
    </row>
    <row r="97" spans="2:3" ht="12.75">
      <c r="B97" t="s">
        <v>106</v>
      </c>
      <c r="C97" s="8">
        <f>+'Datos Resultado '!E57</f>
        <v>4147200</v>
      </c>
    </row>
    <row r="98" ht="12.75">
      <c r="C98" s="1"/>
    </row>
    <row r="99" spans="2:7" ht="12.75">
      <c r="B99" t="s">
        <v>17</v>
      </c>
      <c r="G99">
        <v>0.7</v>
      </c>
    </row>
    <row r="101" ht="12.75">
      <c r="G101" t="s">
        <v>9</v>
      </c>
    </row>
    <row r="102" spans="7:11" ht="12.75">
      <c r="G102" t="s">
        <v>10</v>
      </c>
      <c r="H102" t="s">
        <v>11</v>
      </c>
      <c r="I102" t="s">
        <v>12</v>
      </c>
      <c r="J102" t="s">
        <v>13</v>
      </c>
      <c r="K102" t="s">
        <v>14</v>
      </c>
    </row>
    <row r="103" spans="2:11" ht="12.75">
      <c r="B103" t="s">
        <v>3</v>
      </c>
      <c r="D103" s="1">
        <f>+$C$4*1000000</f>
        <v>6788000</v>
      </c>
      <c r="E103" s="1">
        <f>+IF(C97&gt;D103,D103,C97)</f>
        <v>4147200</v>
      </c>
      <c r="G103">
        <v>0.07</v>
      </c>
      <c r="H103">
        <v>0.08</v>
      </c>
      <c r="I103">
        <v>0.09</v>
      </c>
      <c r="J103">
        <v>0.1</v>
      </c>
      <c r="K103">
        <v>0.11</v>
      </c>
    </row>
    <row r="104" spans="4:5" ht="12.75">
      <c r="D104" s="1"/>
      <c r="E104" s="1"/>
    </row>
    <row r="105" spans="2:11" ht="12.75">
      <c r="B105" t="s">
        <v>4</v>
      </c>
      <c r="D105" s="1">
        <f>+$C$4*1000000</f>
        <v>6788000</v>
      </c>
      <c r="E105" s="1">
        <f>+IF(C97&lt;D106,IF(C97&gt;D105,C97-D105,0),D106-D105)</f>
        <v>0</v>
      </c>
      <c r="G105">
        <v>0.06</v>
      </c>
      <c r="H105">
        <v>0.07</v>
      </c>
      <c r="I105">
        <v>0.08</v>
      </c>
      <c r="J105">
        <v>0.09</v>
      </c>
      <c r="K105">
        <v>0.1</v>
      </c>
    </row>
    <row r="106" spans="2:5" ht="12.75">
      <c r="B106" t="s">
        <v>5</v>
      </c>
      <c r="D106" s="1">
        <f>+$C$4*10000000</f>
        <v>67880000</v>
      </c>
      <c r="E106" s="1"/>
    </row>
    <row r="107" spans="4:5" ht="12.75">
      <c r="D107" s="1"/>
      <c r="E107" s="1"/>
    </row>
    <row r="108" spans="2:11" ht="12.75">
      <c r="B108" t="s">
        <v>6</v>
      </c>
      <c r="D108" s="1">
        <f>+$C$4*10000000</f>
        <v>67880000</v>
      </c>
      <c r="E108" s="1">
        <f>+IF(C97&lt;D109,IF(C97&gt;D108,C97-D108,0),D109-D108)</f>
        <v>0</v>
      </c>
      <c r="G108">
        <v>0.05</v>
      </c>
      <c r="H108">
        <v>0.06</v>
      </c>
      <c r="I108">
        <v>0.07</v>
      </c>
      <c r="J108">
        <v>0.08</v>
      </c>
      <c r="K108">
        <v>0.09</v>
      </c>
    </row>
    <row r="109" spans="2:5" ht="12.75">
      <c r="B109" t="s">
        <v>7</v>
      </c>
      <c r="D109" s="1">
        <f>+$C$4*100000000</f>
        <v>678800000</v>
      </c>
      <c r="E109" s="1"/>
    </row>
    <row r="111" spans="2:11" ht="12.75">
      <c r="B111" t="s">
        <v>8</v>
      </c>
      <c r="D111" s="1">
        <f>+$C$4*100000000</f>
        <v>678800000</v>
      </c>
      <c r="E111" s="1">
        <f>+IF(C97&gt;D111,C97-D111,0)</f>
        <v>0</v>
      </c>
      <c r="G111">
        <v>0.03</v>
      </c>
      <c r="H111">
        <v>0.04</v>
      </c>
      <c r="I111">
        <v>0.05</v>
      </c>
      <c r="J111">
        <v>0.06</v>
      </c>
      <c r="K111">
        <v>0.07</v>
      </c>
    </row>
    <row r="112" spans="4:5" ht="12.75">
      <c r="D112" s="1"/>
      <c r="E112" s="1"/>
    </row>
    <row r="113" spans="4:5" ht="12.75">
      <c r="D113" s="1"/>
      <c r="E113" s="2">
        <f>SUM(E103:E111)</f>
        <v>4147200</v>
      </c>
    </row>
    <row r="114" ht="12.75">
      <c r="B114" t="s">
        <v>20</v>
      </c>
    </row>
    <row r="115" spans="2:11" ht="12.75">
      <c r="B115" t="s">
        <v>17</v>
      </c>
      <c r="E115" s="2"/>
      <c r="F115" s="2"/>
      <c r="G115" s="30">
        <f>IF('Datos Resultado '!E58=1,+$G99*(G$103*$E$103+G$105*$E$105+G$108*$E$108+G$111*$E$111),0)</f>
        <v>0</v>
      </c>
      <c r="H115" s="30">
        <f>IF('Datos Resultado '!E58=2,+$G99*(H$103*$E$103+H$105*$E$105+H$108*$E$108+H$111*$E$111),0)</f>
        <v>0</v>
      </c>
      <c r="I115" s="30">
        <f>IF('Datos Resultado '!E58=3,+$G99*(I$103*$E$103+I$105*$E$105+I$108*$E$108+I$111*$E$111),0)</f>
        <v>261273.59999999998</v>
      </c>
      <c r="J115" s="30">
        <f>IF('Datos Resultado '!E58=4,+$G99*(J$103*$E$103+J$105*$E$105+J$108*$E$108+J$111*$E$111),0)</f>
        <v>0</v>
      </c>
      <c r="K115" s="30">
        <f>IF('Datos Resultado '!E58=5,+$G99*(K$103*$E$103+K$105*$E$105+K$108*$E$108+K$111*$E$111),0)</f>
        <v>0</v>
      </c>
    </row>
    <row r="116" spans="2:12" ht="12.75">
      <c r="B116" s="20" t="s">
        <v>40</v>
      </c>
      <c r="D116" t="s">
        <v>162</v>
      </c>
      <c r="E116" s="2">
        <f>500*C5</f>
        <v>7642.5</v>
      </c>
      <c r="F116" s="2"/>
      <c r="H116" s="2"/>
      <c r="I116" s="2"/>
      <c r="J116" s="2"/>
      <c r="K116" s="2"/>
      <c r="L116" s="2"/>
    </row>
    <row r="117" spans="2:12" ht="12.75">
      <c r="B117" s="20" t="s">
        <v>179</v>
      </c>
      <c r="E117" s="2"/>
      <c r="F117" s="2"/>
      <c r="G117" s="14">
        <f>IF(G$115&gt;0,IF(G$115&gt;$E$116,G$115,$E$116),0)</f>
        <v>0</v>
      </c>
      <c r="H117" s="14">
        <f>IF(H$115&gt;0,IF(H$115&gt;$E$116,H$115,$E$116),0)</f>
        <v>0</v>
      </c>
      <c r="I117" s="14">
        <f>IF(I$115&gt;0,IF(I$115&gt;$E$116,I$115,$E$116),0)</f>
        <v>261273.59999999998</v>
      </c>
      <c r="J117" s="14">
        <f>IF(J$115&gt;0,IF(J$115&gt;$E$116,J$115,$E$116),0)</f>
        <v>0</v>
      </c>
      <c r="K117" s="14">
        <f>IF(K$115&gt;0,IF(K$115&gt;$E$116,K$115,$E$116),0)</f>
        <v>0</v>
      </c>
      <c r="L117" s="2"/>
    </row>
    <row r="118" spans="5:12" ht="12.75">
      <c r="E118" s="2"/>
      <c r="F118" s="2"/>
      <c r="G118" s="2"/>
      <c r="H118" s="2"/>
      <c r="I118" s="2"/>
      <c r="J118" s="2"/>
      <c r="K118" s="2"/>
      <c r="L118" s="2"/>
    </row>
    <row r="119" spans="2:12" ht="12.75">
      <c r="B119" t="s">
        <v>120</v>
      </c>
      <c r="E119" s="2"/>
      <c r="F119" s="2"/>
      <c r="G119" s="17">
        <f>IF(G117*$D$2&gt;0,(IF(G117*$D$2&lt;$C$8,$C$8,G117*$D$2)),0)</f>
        <v>0</v>
      </c>
      <c r="H119" s="17">
        <f>IF(H117*$D$2&gt;0,(IF(H117*$D$2&lt;$C$8,$C$8,H117*$D$2)),0)</f>
        <v>0</v>
      </c>
      <c r="I119" s="17">
        <f>IF(I117*$D$2&gt;0,(IF(I117*$D$2&lt;$C$8,$C$8,I117*$D$2)),0)</f>
        <v>5225.472</v>
      </c>
      <c r="J119" s="17">
        <f>IF(J117*$D$2&gt;0,(IF(J117*$D$2&lt;$C$8,$C$8,J117*$D$2)),0)</f>
        <v>0</v>
      </c>
      <c r="K119" s="17">
        <f>IF(K117*$D$2&gt;0,(IF(K117*$D$2&lt;$C$8,$C$8,K117*$D$2)),0)</f>
        <v>0</v>
      </c>
      <c r="L119" s="2"/>
    </row>
    <row r="120" spans="5:12" ht="12.75">
      <c r="E120" s="2"/>
      <c r="F120" s="2"/>
      <c r="G120" s="2"/>
      <c r="H120" s="2"/>
      <c r="I120" s="2"/>
      <c r="J120" s="2"/>
      <c r="K120" s="2"/>
      <c r="L120" s="2"/>
    </row>
    <row r="121" ht="12.75">
      <c r="C121" s="1"/>
    </row>
    <row r="122" spans="1:2" ht="12.75">
      <c r="A122">
        <v>5</v>
      </c>
      <c r="B122" s="4" t="s">
        <v>165</v>
      </c>
    </row>
    <row r="123" ht="12.75">
      <c r="C123" s="1"/>
    </row>
    <row r="124" spans="2:3" ht="12.75">
      <c r="B124" t="s">
        <v>106</v>
      </c>
      <c r="C124" s="8">
        <f>+'Datos Resultado '!E66</f>
        <v>0</v>
      </c>
    </row>
    <row r="125" ht="12.75">
      <c r="C125" s="1"/>
    </row>
    <row r="126" spans="2:7" ht="12.75">
      <c r="B126" t="s">
        <v>18</v>
      </c>
      <c r="G126">
        <v>0.3</v>
      </c>
    </row>
    <row r="128" ht="12.75">
      <c r="G128" t="s">
        <v>9</v>
      </c>
    </row>
    <row r="129" spans="7:11" ht="12.75">
      <c r="G129" t="s">
        <v>10</v>
      </c>
      <c r="H129" t="s">
        <v>11</v>
      </c>
      <c r="I129" t="s">
        <v>12</v>
      </c>
      <c r="J129" t="s">
        <v>13</v>
      </c>
      <c r="K129" t="s">
        <v>14</v>
      </c>
    </row>
    <row r="130" spans="2:11" ht="12.75">
      <c r="B130" t="s">
        <v>3</v>
      </c>
      <c r="D130" s="1">
        <f>+$C$4*1000000</f>
        <v>6788000</v>
      </c>
      <c r="E130" s="1">
        <f>+IF(C124&gt;D130,D130,C124)</f>
        <v>0</v>
      </c>
      <c r="G130">
        <v>0.07</v>
      </c>
      <c r="H130">
        <v>0.08</v>
      </c>
      <c r="I130">
        <v>0.09</v>
      </c>
      <c r="J130">
        <v>0.1</v>
      </c>
      <c r="K130">
        <v>0.11</v>
      </c>
    </row>
    <row r="131" spans="4:5" ht="12.75">
      <c r="D131" s="1"/>
      <c r="E131" s="1"/>
    </row>
    <row r="132" spans="2:11" ht="12.75">
      <c r="B132" t="s">
        <v>4</v>
      </c>
      <c r="D132" s="1">
        <f>+$C$4*1000000</f>
        <v>6788000</v>
      </c>
      <c r="E132" s="1">
        <f>+IF(C124&lt;D133,IF(C124&gt;D132,C124-D132,0),D133-D132)</f>
        <v>0</v>
      </c>
      <c r="G132">
        <v>0.06</v>
      </c>
      <c r="H132">
        <v>0.07</v>
      </c>
      <c r="I132">
        <v>0.08</v>
      </c>
      <c r="J132">
        <v>0.09</v>
      </c>
      <c r="K132">
        <v>0.1</v>
      </c>
    </row>
    <row r="133" spans="2:5" ht="12.75">
      <c r="B133" t="s">
        <v>5</v>
      </c>
      <c r="D133" s="1">
        <f>+$C$4*10000000</f>
        <v>67880000</v>
      </c>
      <c r="E133" s="1"/>
    </row>
    <row r="134" spans="4:5" ht="12.75">
      <c r="D134" s="1"/>
      <c r="E134" s="1"/>
    </row>
    <row r="135" spans="2:11" ht="12.75">
      <c r="B135" t="s">
        <v>6</v>
      </c>
      <c r="D135" s="1">
        <f>+$C$4*10000000</f>
        <v>67880000</v>
      </c>
      <c r="E135" s="1">
        <f>+IF(C124&lt;D136,IF(C124&gt;D135,C124-D135,0),D136-D135)</f>
        <v>0</v>
      </c>
      <c r="G135">
        <v>0.05</v>
      </c>
      <c r="H135">
        <v>0.06</v>
      </c>
      <c r="I135">
        <v>0.07</v>
      </c>
      <c r="J135">
        <v>0.08</v>
      </c>
      <c r="K135">
        <v>0.09</v>
      </c>
    </row>
    <row r="136" spans="2:5" ht="12.75">
      <c r="B136" t="s">
        <v>7</v>
      </c>
      <c r="D136" s="1">
        <f>+$C$4*100000000</f>
        <v>678800000</v>
      </c>
      <c r="E136" s="1"/>
    </row>
    <row r="138" spans="2:11" ht="12.75">
      <c r="B138" t="s">
        <v>8</v>
      </c>
      <c r="D138" s="1">
        <f>+$C$4*100000000</f>
        <v>678800000</v>
      </c>
      <c r="E138" s="1">
        <f>+IF(C124&gt;D138,C124-D138,0)</f>
        <v>0</v>
      </c>
      <c r="G138">
        <v>0.03</v>
      </c>
      <c r="H138">
        <v>0.04</v>
      </c>
      <c r="I138">
        <v>0.05</v>
      </c>
      <c r="J138">
        <v>0.06</v>
      </c>
      <c r="K138">
        <v>0.07</v>
      </c>
    </row>
    <row r="139" spans="4:5" ht="12.75">
      <c r="D139" s="1"/>
      <c r="E139" s="1"/>
    </row>
    <row r="140" spans="4:5" ht="12.75">
      <c r="D140" s="1"/>
      <c r="E140" s="2">
        <f>SUM(E130:E138)</f>
        <v>0</v>
      </c>
    </row>
    <row r="141" ht="12.75">
      <c r="B141" t="s">
        <v>20</v>
      </c>
    </row>
    <row r="142" spans="2:11" ht="12.75">
      <c r="B142" t="s">
        <v>18</v>
      </c>
      <c r="E142" s="2"/>
      <c r="F142" s="2"/>
      <c r="G142" s="30">
        <f>IF('Datos Resultado '!E67=1,+$G126*(G$130*$E$130+G$132*$E$132+G$135*$E$135+G$138*$E$138),0)</f>
        <v>0</v>
      </c>
      <c r="H142" s="30">
        <f>IF('Datos Resultado '!E67=2,+$G126*(H$130*$E$130+H$132*$E$132+H$135*$E$135+H$138*$E$138),0)</f>
        <v>0</v>
      </c>
      <c r="I142" s="30">
        <f>IF('Datos Resultado '!E67=3,+$G126*(I$130*$E$130+I$132*$E$132+I$135*$E$135+I$138*$E$138),0)</f>
        <v>0</v>
      </c>
      <c r="J142" s="30">
        <f>IF('Datos Resultado '!E67=4,+$G126*(J$130*$E$130+J$132*$E$132+J$135*$E$135+J$138*$E$138),0)</f>
        <v>0</v>
      </c>
      <c r="K142" s="30">
        <f>IF('Datos Resultado '!E67=5,+$G126*(K$130*$E$130+K$132*$E$132+K$135*$E$135+K$138*$E$138),0)</f>
        <v>0</v>
      </c>
    </row>
    <row r="143" spans="2:12" ht="12.75">
      <c r="B143" s="20" t="s">
        <v>40</v>
      </c>
      <c r="D143" t="s">
        <v>162</v>
      </c>
      <c r="E143" s="2">
        <f>500*C5</f>
        <v>7642.5</v>
      </c>
      <c r="F143" s="2"/>
      <c r="L143" s="2"/>
    </row>
    <row r="144" spans="2:12" ht="12.75">
      <c r="B144" s="20" t="s">
        <v>163</v>
      </c>
      <c r="E144" s="2"/>
      <c r="F144" s="2"/>
      <c r="G144" s="14">
        <f>IF(G$142&gt;0,IF(G$142&gt;$E$143,G$142,$E$143),0)</f>
        <v>0</v>
      </c>
      <c r="H144" s="14">
        <f>IF(H$142&gt;0,IF(H$142&gt;$E$143,H$142,$E$143),0)</f>
        <v>0</v>
      </c>
      <c r="I144" s="14">
        <f>IF(I$142&gt;0,IF(I$142&gt;$E$143,I$142,$E$143),0)</f>
        <v>0</v>
      </c>
      <c r="J144" s="14">
        <f>IF(J$142&gt;0,IF(J$142&gt;$E$143,J$142,$E$143),0)</f>
        <v>0</v>
      </c>
      <c r="K144" s="14">
        <f>IF(K$142&gt;0,IF(K$142&gt;$E$143,K$142,$E$143),0)</f>
        <v>0</v>
      </c>
      <c r="L144" s="2"/>
    </row>
    <row r="145" spans="5:12" ht="12.75">
      <c r="E145" s="2"/>
      <c r="F145" s="2"/>
      <c r="G145" s="2"/>
      <c r="H145" s="2"/>
      <c r="I145" s="2"/>
      <c r="J145" s="2"/>
      <c r="K145" s="2"/>
      <c r="L145" s="2"/>
    </row>
    <row r="146" spans="2:12" ht="12.75">
      <c r="B146" t="s">
        <v>120</v>
      </c>
      <c r="E146" s="2"/>
      <c r="F146" s="2"/>
      <c r="G146" s="17">
        <f>IF(G144*$D$2&gt;0,(IF(G144*$D$2&lt;$C$8,$C$8,G144*$D$2)),0)</f>
        <v>0</v>
      </c>
      <c r="H146" s="17">
        <f>IF(H144*$D$2&gt;0,(IF(H144*$D$2&lt;$C$8,$C$8,H144*$D$2)),0)</f>
        <v>0</v>
      </c>
      <c r="I146" s="17">
        <f>IF(I144*$D$2&gt;0,(IF(I144*$D$2&lt;$C$8,$C$8,I144*$D$2)),0)</f>
        <v>0</v>
      </c>
      <c r="J146" s="17">
        <f>IF(J144*$D$2&gt;0,(IF(J144*$D$2&lt;$C$8,$C$8,J144*$D$2)),0)</f>
        <v>0</v>
      </c>
      <c r="K146" s="17">
        <f>IF(K144*$D$2&gt;0,(IF(K144*$D$2&lt;$C$8,$C$8,K144*$D$2)),0)</f>
        <v>0</v>
      </c>
      <c r="L146" s="2"/>
    </row>
    <row r="147" spans="5:12" ht="12.75">
      <c r="E147" s="2"/>
      <c r="G147" s="2"/>
      <c r="H147" s="2"/>
      <c r="I147" s="2"/>
      <c r="J147" s="2"/>
      <c r="K147" s="2"/>
      <c r="L147" s="2"/>
    </row>
    <row r="148" spans="1:2" ht="12.75">
      <c r="A148">
        <v>6</v>
      </c>
      <c r="B148" s="4" t="s">
        <v>166</v>
      </c>
    </row>
    <row r="150" spans="2:3" ht="12.75">
      <c r="B150" t="s">
        <v>106</v>
      </c>
      <c r="C150" s="8">
        <f>+'Datos Resultado '!E75</f>
        <v>12199250</v>
      </c>
    </row>
    <row r="151" ht="12.75">
      <c r="C151" s="1"/>
    </row>
    <row r="152" spans="2:7" ht="12.75">
      <c r="B152" t="s">
        <v>19</v>
      </c>
      <c r="G152">
        <v>1</v>
      </c>
    </row>
    <row r="154" ht="12.75">
      <c r="G154" t="s">
        <v>9</v>
      </c>
    </row>
    <row r="155" spans="7:11" ht="12.75">
      <c r="G155" t="s">
        <v>10</v>
      </c>
      <c r="H155" t="s">
        <v>11</v>
      </c>
      <c r="I155" t="s">
        <v>12</v>
      </c>
      <c r="J155" t="s">
        <v>13</v>
      </c>
      <c r="K155" t="s">
        <v>14</v>
      </c>
    </row>
    <row r="156" spans="2:11" ht="12.75">
      <c r="B156" t="s">
        <v>3</v>
      </c>
      <c r="D156" s="1">
        <f>+$C$4*1000000</f>
        <v>6788000</v>
      </c>
      <c r="E156" s="1">
        <f>+IF(C150&gt;D156,D156,C150)</f>
        <v>6788000</v>
      </c>
      <c r="G156">
        <v>0.07</v>
      </c>
      <c r="H156">
        <v>0.08</v>
      </c>
      <c r="I156">
        <v>0.09</v>
      </c>
      <c r="J156">
        <v>0.1</v>
      </c>
      <c r="K156">
        <v>0.11</v>
      </c>
    </row>
    <row r="157" spans="4:5" ht="12.75">
      <c r="D157" s="1"/>
      <c r="E157" s="1"/>
    </row>
    <row r="158" spans="2:11" ht="12.75">
      <c r="B158" t="s">
        <v>4</v>
      </c>
      <c r="D158" s="1">
        <f>+$C$4*1000000</f>
        <v>6788000</v>
      </c>
      <c r="E158" s="1">
        <f>+IF(C150&lt;D159,IF(C150&gt;D158,C150-D158,0),D159-D158)</f>
        <v>5411250</v>
      </c>
      <c r="G158">
        <v>0.06</v>
      </c>
      <c r="H158">
        <v>0.07</v>
      </c>
      <c r="I158">
        <v>0.08</v>
      </c>
      <c r="J158">
        <v>0.09</v>
      </c>
      <c r="K158">
        <v>0.1</v>
      </c>
    </row>
    <row r="159" spans="2:5" ht="12.75">
      <c r="B159" t="s">
        <v>5</v>
      </c>
      <c r="D159" s="1">
        <f>+$C$4*10000000</f>
        <v>67880000</v>
      </c>
      <c r="E159" s="1"/>
    </row>
    <row r="160" spans="4:5" ht="12.75">
      <c r="D160" s="1"/>
      <c r="E160" s="1"/>
    </row>
    <row r="161" spans="2:11" ht="12.75">
      <c r="B161" t="s">
        <v>6</v>
      </c>
      <c r="D161" s="1">
        <f>+$C$4*10000000</f>
        <v>67880000</v>
      </c>
      <c r="E161" s="1">
        <f>+IF(C150&lt;D162,IF(C150&gt;D161,C150-D161,0),D162-D161)</f>
        <v>0</v>
      </c>
      <c r="G161">
        <v>0.05</v>
      </c>
      <c r="H161">
        <v>0.06</v>
      </c>
      <c r="I161">
        <v>0.07</v>
      </c>
      <c r="J161">
        <v>0.08</v>
      </c>
      <c r="K161">
        <v>0.09</v>
      </c>
    </row>
    <row r="162" spans="2:5" ht="12.75">
      <c r="B162" t="s">
        <v>7</v>
      </c>
      <c r="D162" s="1">
        <f>+$C$4*100000000</f>
        <v>678800000</v>
      </c>
      <c r="E162" s="1"/>
    </row>
    <row r="164" spans="2:11" ht="12.75">
      <c r="B164" t="s">
        <v>8</v>
      </c>
      <c r="D164" s="1">
        <f>+$C$4*100000000</f>
        <v>678800000</v>
      </c>
      <c r="E164" s="1">
        <f>+IF(C150&gt;D164,C150-D164,0)</f>
        <v>0</v>
      </c>
      <c r="G164">
        <v>0.03</v>
      </c>
      <c r="H164">
        <v>0.04</v>
      </c>
      <c r="I164">
        <v>0.05</v>
      </c>
      <c r="J164">
        <v>0.06</v>
      </c>
      <c r="K164">
        <v>0.07</v>
      </c>
    </row>
    <row r="165" spans="4:5" ht="12.75">
      <c r="D165" s="1"/>
      <c r="E165" s="1"/>
    </row>
    <row r="166" spans="4:5" ht="12.75">
      <c r="D166" s="1"/>
      <c r="E166" s="2">
        <f>SUM(E156:E164)</f>
        <v>12199250</v>
      </c>
    </row>
    <row r="167" ht="12.75">
      <c r="B167" t="s">
        <v>20</v>
      </c>
    </row>
    <row r="168" spans="2:11" ht="12.75">
      <c r="B168" t="s">
        <v>19</v>
      </c>
      <c r="E168" s="2"/>
      <c r="F168" s="2"/>
      <c r="G168" s="30">
        <f>IF('Datos Resultado '!E76=1,+G152*(G$156*$E$156+G$158*$E$158+G$161*$E$161+G$164*$E$164),0)</f>
        <v>0</v>
      </c>
      <c r="H168" s="30">
        <f>IF('Datos Resultado '!E76=2,+G152*(H$156*$E$156+H$158*$E$158+H$161*$E$161+H$164*$E$164),0)</f>
        <v>0</v>
      </c>
      <c r="I168" s="30">
        <f>IF('Datos Resultado '!E76=3,+G152*(I$156*$E$156+I$158*$E$158+I$161*$E$161+I$164*$E$164),0)</f>
        <v>1043820</v>
      </c>
      <c r="J168" s="30">
        <f>IF('Datos Resultado '!E76=4,+G152*(J$156*$E$156+J$158*$E$158+J$161*$E$161+J$164*$E$164),0)</f>
        <v>0</v>
      </c>
      <c r="K168" s="30">
        <f>IF('Datos Resultado '!E76=5,+G152*(K$156*$E$156+K$158*$E$158+K$161*$E$161+K$164*$E$164),0)</f>
        <v>0</v>
      </c>
    </row>
    <row r="169" spans="2:12" ht="12.75">
      <c r="B169" s="20" t="s">
        <v>40</v>
      </c>
      <c r="D169" t="s">
        <v>162</v>
      </c>
      <c r="E169" s="2">
        <f>500*C5</f>
        <v>7642.5</v>
      </c>
      <c r="F169" s="2"/>
      <c r="L169" s="2"/>
    </row>
    <row r="170" spans="2:12" ht="12.75">
      <c r="B170" s="20" t="s">
        <v>163</v>
      </c>
      <c r="E170" s="2"/>
      <c r="F170" s="2"/>
      <c r="G170" s="14">
        <f>IF(G$168&gt;0,IF(G$168&gt;$E$169,G$168,$E$169),0)</f>
        <v>0</v>
      </c>
      <c r="H170" s="14">
        <f>IF(H$168&gt;0,IF(H$168&gt;$E$169,H$168,$E$169),0)</f>
        <v>0</v>
      </c>
      <c r="I170" s="14">
        <f>IF(I$168&gt;0,IF(I$168&gt;$E$169,I$168,$E$169),0)</f>
        <v>1043820</v>
      </c>
      <c r="J170" s="14">
        <f>IF(J$168&gt;0,IF(J$168&gt;$E$169,J$168,$E$169),0)</f>
        <v>0</v>
      </c>
      <c r="K170" s="14">
        <f>IF(K$168&gt;0,IF(K$168&gt;$E$169,K$168,$E$169),0)</f>
        <v>0</v>
      </c>
      <c r="L170" s="2"/>
    </row>
    <row r="171" spans="5:12" ht="12.75">
      <c r="E171" s="2"/>
      <c r="F171" s="2"/>
      <c r="G171" s="2"/>
      <c r="H171" s="2"/>
      <c r="I171" s="2"/>
      <c r="J171" s="2"/>
      <c r="K171" s="2"/>
      <c r="L171" s="2"/>
    </row>
    <row r="172" spans="2:12" ht="12.75">
      <c r="B172" t="s">
        <v>120</v>
      </c>
      <c r="E172" s="2"/>
      <c r="F172" s="2"/>
      <c r="G172" s="17">
        <f>IF(G170*$D$2&gt;0,(IF(G170*$D$2&lt;$C$8,$C$8,G170*$D$2)),0)</f>
        <v>0</v>
      </c>
      <c r="H172" s="17">
        <f>IF(H170*$D$2&gt;0,(IF(H170*$D$2&lt;$C$8,$C$8,H170*$D$2)),0)</f>
        <v>0</v>
      </c>
      <c r="I172" s="17">
        <f>IF(I170*$D$2&gt;0,(IF(I170*$D$2&lt;$C$8,$C$8,I170*$D$2)),0)</f>
        <v>20876.4</v>
      </c>
      <c r="J172" s="17">
        <f>IF(J170*$D$2&gt;0,(IF(J170*$D$2&lt;$C$8,$C$8,J170*$D$2)),0)</f>
        <v>0</v>
      </c>
      <c r="K172" s="17">
        <f>IF(K170*$D$2&gt;0,(IF(K170*$D$2&lt;$C$8,$C$8,K170*$D$2)),0)</f>
        <v>0</v>
      </c>
      <c r="L172" s="2"/>
    </row>
    <row r="173" spans="5:12" ht="12.75">
      <c r="E173" s="2"/>
      <c r="G173" s="2"/>
      <c r="H173" s="2"/>
      <c r="I173" s="2"/>
      <c r="J173" s="2"/>
      <c r="K173" s="2"/>
      <c r="L173" s="2"/>
    </row>
    <row r="174" spans="5:12" ht="12.75">
      <c r="E174" s="2"/>
      <c r="F174" s="2"/>
      <c r="G174" s="2"/>
      <c r="H174" s="2"/>
      <c r="I174" s="2"/>
      <c r="J174" s="2"/>
      <c r="K174" s="2"/>
      <c r="L174" s="2"/>
    </row>
    <row r="175" spans="1:2" ht="12.75">
      <c r="A175">
        <v>7</v>
      </c>
      <c r="B175" s="4" t="s">
        <v>45</v>
      </c>
    </row>
    <row r="176" ht="12.75">
      <c r="B176" s="5" t="s">
        <v>39</v>
      </c>
    </row>
    <row r="177" spans="2:3" ht="12.75">
      <c r="B177" t="s">
        <v>21</v>
      </c>
      <c r="C177" s="27">
        <f>+'Datos Resultado '!D86</f>
        <v>0</v>
      </c>
    </row>
    <row r="178" ht="12.75">
      <c r="B178" t="s">
        <v>35</v>
      </c>
    </row>
    <row r="179" spans="2:11" ht="12.75">
      <c r="B179" t="s">
        <v>36</v>
      </c>
      <c r="D179" s="9">
        <f>+'Datos Resultado '!D88</f>
        <v>0</v>
      </c>
      <c r="E179" s="2"/>
      <c r="F179" s="3"/>
      <c r="G179" s="3"/>
      <c r="H179" s="3"/>
      <c r="I179" s="3"/>
      <c r="J179" s="3"/>
      <c r="K179" s="3"/>
    </row>
    <row r="180" spans="2:11" ht="12.75">
      <c r="B180" t="s">
        <v>37</v>
      </c>
      <c r="D180" s="9">
        <f>+'Datos Resultado '!D89</f>
        <v>0</v>
      </c>
      <c r="E180" s="2"/>
      <c r="F180" s="3"/>
      <c r="G180" s="3"/>
      <c r="H180" s="3"/>
      <c r="I180" s="3"/>
      <c r="J180" s="3"/>
      <c r="K180" s="3"/>
    </row>
    <row r="181" ht="12.75">
      <c r="F181" s="3"/>
    </row>
    <row r="182" spans="2:6" ht="12.75">
      <c r="B182" t="s">
        <v>38</v>
      </c>
      <c r="F182" s="3"/>
    </row>
    <row r="183" spans="2:6" ht="12.75">
      <c r="B183" t="s">
        <v>26</v>
      </c>
      <c r="F183" s="3"/>
    </row>
    <row r="184" spans="2:6" ht="12.75">
      <c r="B184" t="s">
        <v>27</v>
      </c>
      <c r="D184">
        <f>+'Datos Resultado '!D91</f>
        <v>0</v>
      </c>
      <c r="E184" s="2"/>
      <c r="F184" s="3"/>
    </row>
    <row r="185" spans="2:6" ht="12.75">
      <c r="B185" t="s">
        <v>28</v>
      </c>
      <c r="D185">
        <f>+'Datos Resultado '!D92</f>
        <v>0</v>
      </c>
      <c r="E185" s="2"/>
      <c r="F185" s="3"/>
    </row>
    <row r="186" ht="12.75">
      <c r="F186" s="3"/>
    </row>
    <row r="187" spans="2:6" ht="12.75">
      <c r="B187" t="s">
        <v>29</v>
      </c>
      <c r="F187" s="3"/>
    </row>
    <row r="188" spans="2:6" ht="12.75">
      <c r="B188" t="s">
        <v>27</v>
      </c>
      <c r="D188" s="9">
        <f>+'Datos Resultado '!D94</f>
        <v>0</v>
      </c>
      <c r="E188" s="2"/>
      <c r="F188" s="3"/>
    </row>
    <row r="189" spans="2:6" ht="12.75">
      <c r="B189" t="s">
        <v>28</v>
      </c>
      <c r="D189">
        <f>+'Datos Resultado '!D95</f>
        <v>0</v>
      </c>
      <c r="E189" s="2"/>
      <c r="F189" s="3"/>
    </row>
    <row r="191" ht="12.75">
      <c r="B191" t="s">
        <v>42</v>
      </c>
    </row>
    <row r="192" ht="12.75">
      <c r="F192" t="s">
        <v>22</v>
      </c>
    </row>
    <row r="194" spans="2:6" ht="12.75">
      <c r="B194" t="s">
        <v>3</v>
      </c>
      <c r="D194" s="25">
        <f>+$C$4*1000000</f>
        <v>6788000</v>
      </c>
      <c r="E194" s="25">
        <f>+IF(C177&gt;D194,D194,C177)</f>
        <v>0</v>
      </c>
      <c r="F194">
        <v>0.015</v>
      </c>
    </row>
    <row r="195" spans="4:5" ht="12.75">
      <c r="D195" s="25"/>
      <c r="E195" s="25"/>
    </row>
    <row r="196" spans="2:6" ht="12.75">
      <c r="B196" t="s">
        <v>4</v>
      </c>
      <c r="D196" s="25">
        <f>+$C$4*1000000</f>
        <v>6788000</v>
      </c>
      <c r="E196" s="25">
        <f>+IF(C177&lt;D197,IF(C177&gt;D196,C177-D196,0),D197-D196)</f>
        <v>0</v>
      </c>
      <c r="F196">
        <v>0.01</v>
      </c>
    </row>
    <row r="197" spans="2:5" ht="12.75">
      <c r="B197" t="s">
        <v>5</v>
      </c>
      <c r="D197" s="25">
        <f>+$C$4*10000000</f>
        <v>67880000</v>
      </c>
      <c r="E197" s="25"/>
    </row>
    <row r="198" spans="4:5" ht="12.75">
      <c r="D198" s="25"/>
      <c r="E198" s="25"/>
    </row>
    <row r="199" spans="2:6" ht="12.75">
      <c r="B199" t="s">
        <v>6</v>
      </c>
      <c r="D199" s="25">
        <f>+$C$4*10000000</f>
        <v>67880000</v>
      </c>
      <c r="E199" s="25">
        <f>+IF(C177&lt;D200,IF(C177&gt;D199,C177-D199,0),D200-D199)</f>
        <v>0</v>
      </c>
      <c r="F199">
        <v>0.0075</v>
      </c>
    </row>
    <row r="200" spans="2:5" ht="12.75">
      <c r="B200" t="s">
        <v>7</v>
      </c>
      <c r="D200" s="25">
        <f>+$C$4*100000000</f>
        <v>678800000</v>
      </c>
      <c r="E200" s="25"/>
    </row>
    <row r="202" spans="2:6" ht="12.75">
      <c r="B202" t="s">
        <v>8</v>
      </c>
      <c r="D202" s="25">
        <f>+$C$4*100000000</f>
        <v>678800000</v>
      </c>
      <c r="E202" s="25">
        <f>+IF(C177&gt;D202,C177-D202,0)</f>
        <v>0</v>
      </c>
      <c r="F202">
        <v>0.005</v>
      </c>
    </row>
    <row r="203" spans="4:5" ht="12.75">
      <c r="D203" s="25"/>
      <c r="E203" s="25"/>
    </row>
    <row r="204" spans="4:5" ht="12.75">
      <c r="D204" s="25"/>
      <c r="E204" s="2">
        <f>SUM(E194:E202)</f>
        <v>0</v>
      </c>
    </row>
    <row r="205" spans="4:6" ht="12.75">
      <c r="D205" s="25"/>
      <c r="E205" s="2"/>
      <c r="F205" s="3">
        <f>+(F$194*$E$194+F$196*$E$196+F$199*$E$199+F$202*$E$202)</f>
        <v>0</v>
      </c>
    </row>
    <row r="206" spans="2:6" ht="12.75">
      <c r="B206" t="s">
        <v>40</v>
      </c>
      <c r="D206" t="s">
        <v>41</v>
      </c>
      <c r="F206" s="2">
        <f>250*$C$5</f>
        <v>3821.25</v>
      </c>
    </row>
    <row r="208" spans="2:6" ht="12.75">
      <c r="B208" t="s">
        <v>42</v>
      </c>
      <c r="E208" s="2"/>
      <c r="F208" s="3">
        <f>IF(F205&gt;0,IF(F205&gt;F206,F205,F206),0)</f>
        <v>0</v>
      </c>
    </row>
    <row r="209" spans="5:6" ht="12.75">
      <c r="E209" s="2"/>
      <c r="F209" s="3"/>
    </row>
    <row r="210" spans="2:6" ht="12.75">
      <c r="B210" t="s">
        <v>43</v>
      </c>
      <c r="E210" s="2"/>
      <c r="F210" s="3"/>
    </row>
    <row r="211" spans="5:11" ht="12.75">
      <c r="E211" s="2"/>
      <c r="F211" s="3"/>
      <c r="G211" s="3"/>
      <c r="H211" s="3"/>
      <c r="I211" s="3"/>
      <c r="J211" s="3"/>
      <c r="K211" s="3"/>
    </row>
    <row r="212" spans="2:11" ht="12.75">
      <c r="B212" t="s">
        <v>23</v>
      </c>
      <c r="D212" t="s">
        <v>34</v>
      </c>
      <c r="E212" s="2">
        <f>750*$C$5*D179</f>
        <v>0</v>
      </c>
      <c r="F212" s="3"/>
      <c r="G212" s="3"/>
      <c r="H212" s="3"/>
      <c r="I212" s="3"/>
      <c r="J212" s="3"/>
      <c r="K212" s="3"/>
    </row>
    <row r="213" spans="2:11" ht="12.75">
      <c r="B213" t="s">
        <v>24</v>
      </c>
      <c r="D213" t="s">
        <v>33</v>
      </c>
      <c r="E213" s="2">
        <f>1500*$C$5*D180</f>
        <v>0</v>
      </c>
      <c r="F213" s="3"/>
      <c r="G213" s="3"/>
      <c r="H213" s="3"/>
      <c r="I213" s="3"/>
      <c r="J213" s="3"/>
      <c r="K213" s="3"/>
    </row>
    <row r="214" ht="12.75">
      <c r="F214" s="3"/>
    </row>
    <row r="215" spans="2:6" ht="12.75">
      <c r="B215" t="s">
        <v>25</v>
      </c>
      <c r="F215" s="3"/>
    </row>
    <row r="216" spans="2:6" ht="12.75">
      <c r="B216" t="s">
        <v>26</v>
      </c>
      <c r="F216" s="3"/>
    </row>
    <row r="217" spans="2:6" ht="12.75">
      <c r="B217" t="s">
        <v>27</v>
      </c>
      <c r="D217" t="s">
        <v>33</v>
      </c>
      <c r="E217" s="2">
        <f>1500*$C$5*D184</f>
        <v>0</v>
      </c>
      <c r="F217" s="3"/>
    </row>
    <row r="218" spans="2:6" ht="12.75">
      <c r="B218" t="s">
        <v>28</v>
      </c>
      <c r="D218" t="s">
        <v>32</v>
      </c>
      <c r="E218" s="2">
        <f>1200*$C$5*D185</f>
        <v>0</v>
      </c>
      <c r="F218" s="3"/>
    </row>
    <row r="219" ht="12.75">
      <c r="F219" s="3"/>
    </row>
    <row r="220" spans="2:6" ht="12.75">
      <c r="B220" t="s">
        <v>29</v>
      </c>
      <c r="F220" s="3"/>
    </row>
    <row r="221" spans="2:6" ht="12.75">
      <c r="B221" t="s">
        <v>27</v>
      </c>
      <c r="D221" t="s">
        <v>31</v>
      </c>
      <c r="E221" s="2">
        <f>2250*$C$5*D188</f>
        <v>0</v>
      </c>
      <c r="F221" s="3"/>
    </row>
    <row r="222" spans="2:6" ht="12.75">
      <c r="B222" t="s">
        <v>28</v>
      </c>
      <c r="D222" t="s">
        <v>30</v>
      </c>
      <c r="E222" s="2">
        <f>1850*$C$5*D189</f>
        <v>0</v>
      </c>
      <c r="F222" s="3"/>
    </row>
    <row r="224" spans="2:6" ht="12.75">
      <c r="B224" t="s">
        <v>43</v>
      </c>
      <c r="F224" s="2">
        <f>SUM(E212:E222)</f>
        <v>0</v>
      </c>
    </row>
    <row r="226" spans="2:6" ht="12.75">
      <c r="B226" t="s">
        <v>44</v>
      </c>
      <c r="F226" s="14">
        <f>+F208+F224</f>
        <v>0</v>
      </c>
    </row>
    <row r="227" spans="2:6" ht="12.75">
      <c r="B227" t="s">
        <v>108</v>
      </c>
      <c r="F227" s="17">
        <f>IF(F226*$D$2&gt;0,(IF(F226*$D$2&lt;$C$8,$C$8,F226*$D$2)),0)</f>
        <v>0</v>
      </c>
    </row>
    <row r="229" spans="1:2" ht="12.75">
      <c r="A229">
        <v>8</v>
      </c>
      <c r="B229" s="4" t="s">
        <v>115</v>
      </c>
    </row>
    <row r="230" ht="12.75">
      <c r="B230" s="5" t="s">
        <v>39</v>
      </c>
    </row>
    <row r="231" ht="12.75">
      <c r="B231" t="s">
        <v>51</v>
      </c>
    </row>
    <row r="232" ht="12.75">
      <c r="B232" t="s">
        <v>52</v>
      </c>
    </row>
    <row r="233" ht="12.75">
      <c r="B233" t="s">
        <v>63</v>
      </c>
    </row>
    <row r="236" spans="2:5" ht="12.75">
      <c r="B236" s="6" t="s">
        <v>116</v>
      </c>
      <c r="E236" s="9">
        <f>+'Datos Resultado '!E108</f>
        <v>0</v>
      </c>
    </row>
    <row r="237" ht="12.75">
      <c r="B237" s="6"/>
    </row>
    <row r="238" spans="2:5" ht="12.75">
      <c r="B238" s="6" t="s">
        <v>117</v>
      </c>
      <c r="E238" s="25">
        <f>+E236*1.25</f>
        <v>0</v>
      </c>
    </row>
    <row r="239" ht="12.75">
      <c r="F239" t="s">
        <v>22</v>
      </c>
    </row>
    <row r="241" spans="2:6" ht="12.75">
      <c r="B241" t="s">
        <v>47</v>
      </c>
      <c r="D241" s="25">
        <f>+$C$4*500000</f>
        <v>3394000</v>
      </c>
      <c r="E241" s="25">
        <f>+IF(E238&gt;D241,D241,E238)</f>
        <v>0</v>
      </c>
      <c r="F241">
        <v>0.07</v>
      </c>
    </row>
    <row r="242" spans="4:5" ht="12.75">
      <c r="D242" s="25"/>
      <c r="E242" s="25"/>
    </row>
    <row r="243" spans="2:6" ht="12.75">
      <c r="B243" t="s">
        <v>48</v>
      </c>
      <c r="D243" s="25">
        <f>+$C$4*500000</f>
        <v>3394000</v>
      </c>
      <c r="E243" s="25">
        <f>+IF(E238&lt;D244,IF(E238&gt;D243,E238-D243,0),D244-D243)</f>
        <v>0</v>
      </c>
      <c r="F243">
        <v>0.055</v>
      </c>
    </row>
    <row r="244" spans="2:5" ht="12.75">
      <c r="B244" t="s">
        <v>3</v>
      </c>
      <c r="D244" s="25">
        <f>+$C$4*1000000</f>
        <v>6788000</v>
      </c>
      <c r="E244" s="25"/>
    </row>
    <row r="245" spans="4:5" ht="12.75">
      <c r="D245" s="25"/>
      <c r="E245" s="25"/>
    </row>
    <row r="246" spans="2:6" ht="12.75">
      <c r="B246" t="s">
        <v>4</v>
      </c>
      <c r="D246" s="25">
        <f>+$C$4*1000000</f>
        <v>6788000</v>
      </c>
      <c r="E246" s="25">
        <f>+IF(E238&lt;D247,IF(E238&gt;D246,E238-D246,0),D247-D246)</f>
        <v>0</v>
      </c>
      <c r="F246">
        <v>0.04</v>
      </c>
    </row>
    <row r="247" spans="2:5" ht="12.75">
      <c r="B247" t="s">
        <v>49</v>
      </c>
      <c r="D247" s="25">
        <f>+$C$4*5000000</f>
        <v>33940000</v>
      </c>
      <c r="E247" s="25"/>
    </row>
    <row r="249" spans="2:6" ht="12.75">
      <c r="B249" t="s">
        <v>50</v>
      </c>
      <c r="D249" s="25">
        <f>+$C$4*5000000</f>
        <v>33940000</v>
      </c>
      <c r="E249" s="25">
        <f>+IF(E238&gt;D249,E238-D249,0)</f>
        <v>0</v>
      </c>
      <c r="F249">
        <v>0.025</v>
      </c>
    </row>
    <row r="250" spans="4:5" ht="12.75">
      <c r="D250" s="25"/>
      <c r="E250" s="25"/>
    </row>
    <row r="251" spans="4:6" ht="12.75">
      <c r="D251" s="25"/>
      <c r="E251" s="25"/>
      <c r="F251" s="22">
        <f>(+E241*F241+E243*F243+E246*F246+E249*F249)</f>
        <v>0</v>
      </c>
    </row>
    <row r="252" spans="2:6" ht="12.75">
      <c r="B252" t="s">
        <v>40</v>
      </c>
      <c r="D252" s="28" t="s">
        <v>53</v>
      </c>
      <c r="F252" s="31">
        <f>4000*$C$5</f>
        <v>61140</v>
      </c>
    </row>
    <row r="253" spans="4:6" ht="12.75">
      <c r="D253" s="25"/>
      <c r="F253" s="3">
        <f>IF(F251&gt;0,IF(F251&gt;F252,F251,F252),0)</f>
        <v>0</v>
      </c>
    </row>
    <row r="254" spans="4:7" ht="12.75">
      <c r="D254" s="25"/>
      <c r="F254" s="3"/>
      <c r="G254" s="20"/>
    </row>
    <row r="255" spans="2:6" ht="12.75">
      <c r="B255" t="s">
        <v>65</v>
      </c>
      <c r="D255" s="25"/>
      <c r="F255" s="32">
        <f>+F253</f>
        <v>0</v>
      </c>
    </row>
    <row r="256" spans="2:6" ht="12.75">
      <c r="B256" t="s">
        <v>108</v>
      </c>
      <c r="F256" s="17">
        <f>IF(F255*$D$2&gt;0,(IF(F255*$D$2&lt;$C$8,$C$8,F255*$D$2)),0)</f>
        <v>0</v>
      </c>
    </row>
    <row r="258" ht="12.75">
      <c r="B258" t="s">
        <v>46</v>
      </c>
    </row>
    <row r="259" ht="12.75">
      <c r="B259" t="s">
        <v>62</v>
      </c>
    </row>
    <row r="260" ht="12.75">
      <c r="B260" s="4"/>
    </row>
    <row r="261" spans="1:2" ht="14.25">
      <c r="A261" s="18">
        <v>9</v>
      </c>
      <c r="B261" s="4" t="s">
        <v>159</v>
      </c>
    </row>
    <row r="262" ht="12.75">
      <c r="B262" s="4"/>
    </row>
    <row r="263" ht="12.75">
      <c r="B263" s="5" t="s">
        <v>39</v>
      </c>
    </row>
    <row r="264" spans="2:4" ht="12.75">
      <c r="B264" s="6" t="s">
        <v>121</v>
      </c>
      <c r="D264" s="9">
        <f>+'Datos Resultado '!E119</f>
        <v>0</v>
      </c>
    </row>
    <row r="265" ht="12.75">
      <c r="B265" s="5"/>
    </row>
    <row r="266" ht="12.75">
      <c r="F266" t="s">
        <v>22</v>
      </c>
    </row>
    <row r="268" spans="2:6" ht="12.75">
      <c r="B268" t="s">
        <v>47</v>
      </c>
      <c r="D268" s="25">
        <f>+$C$4*500000</f>
        <v>3394000</v>
      </c>
      <c r="E268" s="25">
        <f>+IF(D264&gt;D268,D268,D264)</f>
        <v>0</v>
      </c>
      <c r="F268">
        <v>0.07</v>
      </c>
    </row>
    <row r="269" spans="4:5" ht="12.75">
      <c r="D269" s="25"/>
      <c r="E269" s="25"/>
    </row>
    <row r="270" spans="2:6" ht="12.75">
      <c r="B270" t="s">
        <v>48</v>
      </c>
      <c r="D270" s="25">
        <f>+$C$4*500000</f>
        <v>3394000</v>
      </c>
      <c r="E270" s="25">
        <f>+IF(D264&lt;D271,IF(D264&gt;D270,D264-D270,0),D271-D270)</f>
        <v>0</v>
      </c>
      <c r="F270">
        <v>0.055</v>
      </c>
    </row>
    <row r="271" spans="2:5" ht="12.75">
      <c r="B271" t="s">
        <v>3</v>
      </c>
      <c r="D271" s="25">
        <f>+$C$4*1000000</f>
        <v>6788000</v>
      </c>
      <c r="E271" s="25"/>
    </row>
    <row r="272" spans="4:5" ht="12.75">
      <c r="D272" s="25"/>
      <c r="E272" s="25"/>
    </row>
    <row r="273" spans="2:6" ht="12.75">
      <c r="B273" t="s">
        <v>4</v>
      </c>
      <c r="D273" s="25">
        <f>+$C$4*1000000</f>
        <v>6788000</v>
      </c>
      <c r="E273" s="25">
        <f>+IF(D264&lt;D274,IF(D264&gt;D273,D264-D273,0),D274-D273)</f>
        <v>0</v>
      </c>
      <c r="F273">
        <v>0.04</v>
      </c>
    </row>
    <row r="274" spans="2:5" ht="12.75">
      <c r="B274" t="s">
        <v>49</v>
      </c>
      <c r="D274" s="25">
        <f>+$C$4*5000000</f>
        <v>33940000</v>
      </c>
      <c r="E274" s="25"/>
    </row>
    <row r="276" spans="2:6" ht="12.75">
      <c r="B276" t="s">
        <v>50</v>
      </c>
      <c r="D276" s="25">
        <f>+$C$4*5000000</f>
        <v>33940000</v>
      </c>
      <c r="E276" s="25">
        <f>+IF(D264&gt;D276,D264-D276,0)</f>
        <v>0</v>
      </c>
      <c r="F276">
        <v>0.025</v>
      </c>
    </row>
    <row r="277" spans="4:6" ht="12.75">
      <c r="D277" s="25"/>
      <c r="E277" s="25"/>
      <c r="F277" s="14">
        <f>+(+E268*F268+E270*F270+E273*F273+E276*F276)</f>
        <v>0</v>
      </c>
    </row>
    <row r="278" spans="2:6" ht="12.75">
      <c r="B278" t="s">
        <v>40</v>
      </c>
      <c r="D278" s="28" t="s">
        <v>53</v>
      </c>
      <c r="F278" s="25">
        <f>4000*$C$5</f>
        <v>61140</v>
      </c>
    </row>
    <row r="279" spans="4:6" ht="12.75">
      <c r="D279" s="28"/>
      <c r="E279" s="25"/>
      <c r="F279" s="3">
        <f>IF(F277&gt;0,IF(F277&gt;F278,F277,F278),0)</f>
        <v>0</v>
      </c>
    </row>
    <row r="280" spans="4:5" ht="12.75">
      <c r="D280" s="28"/>
      <c r="E280" s="25"/>
    </row>
    <row r="281" spans="2:6" ht="12.75">
      <c r="B281" t="s">
        <v>65</v>
      </c>
      <c r="D281" s="25"/>
      <c r="F281" s="32">
        <f>+F279</f>
        <v>0</v>
      </c>
    </row>
    <row r="282" spans="2:6" ht="12.75">
      <c r="B282" t="s">
        <v>108</v>
      </c>
      <c r="F282" s="17">
        <f>IF(F281*$D$2&gt;0,(IF(F281*$D$2&lt;$C$8,$C$8,F281*$D$2)),0)</f>
        <v>0</v>
      </c>
    </row>
    <row r="284" ht="12.75">
      <c r="B284" t="s">
        <v>46</v>
      </c>
    </row>
    <row r="285" ht="12.75">
      <c r="B285" t="s">
        <v>62</v>
      </c>
    </row>
    <row r="287" spans="1:2" ht="12.75">
      <c r="A287">
        <v>10</v>
      </c>
      <c r="B287" s="4" t="s">
        <v>122</v>
      </c>
    </row>
    <row r="289" spans="2:4" ht="12.75">
      <c r="B289" s="6" t="s">
        <v>64</v>
      </c>
      <c r="D289" s="9">
        <f>+'Datos Resultado '!D131</f>
        <v>0</v>
      </c>
    </row>
    <row r="290" ht="12.75">
      <c r="F290" t="s">
        <v>22</v>
      </c>
    </row>
    <row r="291" spans="6:8" ht="12.75">
      <c r="F291" t="s">
        <v>56</v>
      </c>
      <c r="G291" t="s">
        <v>57</v>
      </c>
      <c r="H291" t="s">
        <v>58</v>
      </c>
    </row>
    <row r="292" spans="2:8" ht="12.75">
      <c r="B292" t="s">
        <v>54</v>
      </c>
      <c r="D292" s="25">
        <f>+$C$4*500000</f>
        <v>3394000</v>
      </c>
      <c r="E292" s="25">
        <f>+IF(D289&gt;D292,D292,D289)</f>
        <v>0</v>
      </c>
      <c r="F292">
        <v>0.005</v>
      </c>
      <c r="G292">
        <v>0.0075</v>
      </c>
      <c r="H292">
        <v>0.0125</v>
      </c>
    </row>
    <row r="293" spans="4:5" ht="12.75">
      <c r="D293" s="25"/>
      <c r="E293" s="25"/>
    </row>
    <row r="294" spans="2:8" ht="12.75">
      <c r="B294" t="s">
        <v>55</v>
      </c>
      <c r="D294" s="25">
        <f>+$C$4*500000</f>
        <v>3394000</v>
      </c>
      <c r="E294" s="25">
        <f>+IF(D289&lt;D295,IF(D289&gt;D294,D289-D294,0),D295-D294)</f>
        <v>0</v>
      </c>
      <c r="F294">
        <v>0.003</v>
      </c>
      <c r="G294">
        <v>0.005</v>
      </c>
      <c r="H294">
        <v>0.01</v>
      </c>
    </row>
    <row r="295" spans="2:5" ht="12.75">
      <c r="B295" t="s">
        <v>5</v>
      </c>
      <c r="D295" s="25">
        <f>+$C$4*1000000</f>
        <v>6788000</v>
      </c>
      <c r="E295" s="25"/>
    </row>
    <row r="296" spans="4:5" ht="12.75">
      <c r="D296" s="25"/>
      <c r="E296" s="25"/>
    </row>
    <row r="297" spans="2:8" ht="12.75">
      <c r="B297" t="s">
        <v>6</v>
      </c>
      <c r="D297" s="25">
        <f>+$C$4*1000000</f>
        <v>6788000</v>
      </c>
      <c r="E297" s="25">
        <f>+IF(D289&lt;D298,IF(D289&gt;D297,D289-D297,0),D298-D297)</f>
        <v>0</v>
      </c>
      <c r="F297">
        <v>0.0025</v>
      </c>
      <c r="G297">
        <v>0.004</v>
      </c>
      <c r="H297">
        <v>0.0075</v>
      </c>
    </row>
    <row r="298" spans="2:5" ht="12.75">
      <c r="B298" t="s">
        <v>7</v>
      </c>
      <c r="D298" s="25">
        <f>+$C$4*5000000</f>
        <v>33940000</v>
      </c>
      <c r="E298" s="25"/>
    </row>
    <row r="300" spans="2:8" ht="12.75">
      <c r="B300" t="s">
        <v>8</v>
      </c>
      <c r="D300" s="25">
        <f>+$C$4*5000000</f>
        <v>33940000</v>
      </c>
      <c r="E300" s="25">
        <f>+IF(D289&gt;D300,D289-D300,0)</f>
        <v>0</v>
      </c>
      <c r="F300">
        <v>0.002</v>
      </c>
      <c r="G300">
        <v>0.003</v>
      </c>
      <c r="H300">
        <v>0.005</v>
      </c>
    </row>
    <row r="301" spans="4:5" ht="12.75">
      <c r="D301" s="25"/>
      <c r="E301" s="25"/>
    </row>
    <row r="302" spans="4:8" ht="12.75">
      <c r="D302" s="25"/>
      <c r="E302" s="25"/>
      <c r="F302" s="22">
        <f>IF('Datos Resultado '!D132=1,(+$E292*F292+$E294*F294+$E297*F297+$E300*F300),0)</f>
        <v>0</v>
      </c>
      <c r="G302" s="22">
        <f>IF('Datos Resultado '!D132=2,(+$E292*G292+$E294*G294+$E297*G297+$E300*G300),0)</f>
        <v>0</v>
      </c>
      <c r="H302" s="22">
        <f>IF('Datos Resultado '!D132=3,(+$E292*H292+$E294*H294+$E297*H297+$E300*H300),0)</f>
        <v>0</v>
      </c>
    </row>
    <row r="303" spans="2:5" ht="12.75">
      <c r="B303" t="s">
        <v>40</v>
      </c>
      <c r="E303" s="25"/>
    </row>
    <row r="304" spans="2:5" ht="12.75">
      <c r="B304" t="s">
        <v>66</v>
      </c>
      <c r="D304" s="28" t="s">
        <v>59</v>
      </c>
      <c r="E304" s="28">
        <f>500*$C$5</f>
        <v>7642.5</v>
      </c>
    </row>
    <row r="305" spans="2:5" ht="12.75">
      <c r="B305" t="s">
        <v>67</v>
      </c>
      <c r="D305" s="28" t="s">
        <v>61</v>
      </c>
      <c r="E305" s="28">
        <f>1000*$C$5</f>
        <v>15285</v>
      </c>
    </row>
    <row r="306" spans="2:5" ht="12.75">
      <c r="B306" t="s">
        <v>68</v>
      </c>
      <c r="D306" s="28" t="s">
        <v>60</v>
      </c>
      <c r="E306" s="28">
        <f>1500*$C$5</f>
        <v>22927.5</v>
      </c>
    </row>
    <row r="307" spans="6:8" ht="12.75">
      <c r="F307" s="2">
        <f>IF(F302&gt;0,IF(F302&gt;E304,F302,E304),0)</f>
        <v>0</v>
      </c>
      <c r="G307" s="2">
        <f>IF(G302&gt;0,IF(G302&gt;E305,G302,E305),0)</f>
        <v>0</v>
      </c>
      <c r="H307" s="2">
        <f>IF(H302&gt;0,IF(H302&gt;E306,H302,E306),0)</f>
        <v>0</v>
      </c>
    </row>
    <row r="308" spans="2:8" ht="12.75">
      <c r="B308" t="s">
        <v>125</v>
      </c>
      <c r="F308" s="14">
        <f>+F307</f>
        <v>0</v>
      </c>
      <c r="G308" s="14">
        <f>+G307</f>
        <v>0</v>
      </c>
      <c r="H308" s="14">
        <f>+H307</f>
        <v>0</v>
      </c>
    </row>
    <row r="309" spans="2:8" ht="12.75">
      <c r="B309" t="s">
        <v>108</v>
      </c>
      <c r="F309" s="17">
        <f>IF(F308*$D$2&gt;0,(IF(F308*$D$2&lt;$C$8,$C$8,F308*$D$2)),0)</f>
        <v>0</v>
      </c>
      <c r="G309" s="17">
        <f>IF(G308*$D$2&gt;0,(IF(G308*$D$2&lt;$C$8,$C$8,G308*$D$2)),0)</f>
        <v>0</v>
      </c>
      <c r="H309" s="17">
        <f>IF(H308*$D$2&gt;0,(IF(H308*$D$2&lt;$C$8,$C$8,H308*$D$2)),0)</f>
        <v>0</v>
      </c>
    </row>
    <row r="312" ht="12.75">
      <c r="B312" s="4" t="s">
        <v>71</v>
      </c>
    </row>
    <row r="313" spans="1:2" ht="12.75">
      <c r="A313">
        <v>11</v>
      </c>
      <c r="B313" s="4" t="s">
        <v>130</v>
      </c>
    </row>
    <row r="314" spans="2:10" ht="12.75">
      <c r="B314" t="s">
        <v>131</v>
      </c>
      <c r="I314" s="2"/>
      <c r="J314" s="2"/>
    </row>
    <row r="315" spans="2:6" ht="12.75">
      <c r="B315" t="s">
        <v>126</v>
      </c>
      <c r="E315" t="s">
        <v>72</v>
      </c>
      <c r="F315">
        <f>IF('Datos Resultado '!D142=1,300*C5,0)</f>
        <v>0</v>
      </c>
    </row>
    <row r="316" ht="12.75">
      <c r="B316" t="s">
        <v>127</v>
      </c>
    </row>
    <row r="317" spans="2:6" ht="12.75">
      <c r="B317" t="s">
        <v>73</v>
      </c>
      <c r="E317" t="s">
        <v>59</v>
      </c>
      <c r="F317">
        <f>IF('Datos Resultado '!D142=2,500*C5,0)</f>
        <v>0</v>
      </c>
    </row>
    <row r="318" ht="12.75">
      <c r="B318" t="s">
        <v>129</v>
      </c>
    </row>
    <row r="319" spans="2:6" ht="12.75">
      <c r="B319" t="s">
        <v>73</v>
      </c>
      <c r="E319" t="s">
        <v>60</v>
      </c>
      <c r="F319">
        <f>IF('Datos Resultado '!D142=3,1500*C5,0)</f>
        <v>0</v>
      </c>
    </row>
    <row r="320" spans="2:6" ht="12.75">
      <c r="B320" t="s">
        <v>133</v>
      </c>
      <c r="D320" t="s">
        <v>34</v>
      </c>
      <c r="F320" s="2">
        <f>IF('Datos Resultado '!D146&gt;0,750*$C$5*'Datos Resultado '!D146,0)</f>
        <v>0</v>
      </c>
    </row>
    <row r="321" spans="2:6" ht="12.75">
      <c r="B321" t="s">
        <v>109</v>
      </c>
      <c r="E321" s="19"/>
      <c r="F321">
        <f>SUM(F315:F320)</f>
        <v>0</v>
      </c>
    </row>
    <row r="322" ht="12.75">
      <c r="E322" s="19"/>
    </row>
    <row r="323" spans="2:6" ht="12.75">
      <c r="B323" t="s">
        <v>172</v>
      </c>
      <c r="F323" s="14">
        <f>+F321</f>
        <v>0</v>
      </c>
    </row>
    <row r="324" spans="2:6" ht="12.75">
      <c r="B324" t="s">
        <v>108</v>
      </c>
      <c r="F324" s="17">
        <f>IF(F323*$D$2&gt;0,(IF(F323*$D$2&lt;$C$8,$C$8,F323*$D$2)),0)</f>
        <v>0</v>
      </c>
    </row>
    <row r="326" spans="1:2" ht="12.75">
      <c r="A326">
        <v>12</v>
      </c>
      <c r="B326" s="4" t="s">
        <v>137</v>
      </c>
    </row>
    <row r="328" ht="12.75">
      <c r="B328" t="s">
        <v>83</v>
      </c>
    </row>
    <row r="330" ht="12.75">
      <c r="B330" t="s">
        <v>74</v>
      </c>
    </row>
    <row r="331" ht="12.75">
      <c r="B331" t="s">
        <v>75</v>
      </c>
    </row>
    <row r="332" ht="12.75">
      <c r="D332" s="9">
        <f>+'Datos Resultado '!D156</f>
        <v>0</v>
      </c>
    </row>
    <row r="333" ht="12.75">
      <c r="B333" t="s">
        <v>76</v>
      </c>
    </row>
    <row r="335" spans="2:4" ht="12.75">
      <c r="B335" s="6" t="s">
        <v>77</v>
      </c>
      <c r="D335" s="9">
        <f>+'Datos Resultado '!D157</f>
        <v>0</v>
      </c>
    </row>
    <row r="336" ht="12.75">
      <c r="F336" t="s">
        <v>22</v>
      </c>
    </row>
    <row r="338" spans="2:6" ht="12.75">
      <c r="B338" t="s">
        <v>47</v>
      </c>
      <c r="D338" s="25">
        <f>+$C$4*500000</f>
        <v>3394000</v>
      </c>
      <c r="E338" s="25">
        <f>+IF(D335&gt;D338,D338,D335)</f>
        <v>0</v>
      </c>
      <c r="F338">
        <v>0.0175</v>
      </c>
    </row>
    <row r="339" spans="4:5" ht="12.75">
      <c r="D339" s="25"/>
      <c r="E339" s="25"/>
    </row>
    <row r="340" spans="2:6" ht="12.75">
      <c r="B340" t="s">
        <v>48</v>
      </c>
      <c r="D340" s="25">
        <f>+$C$4*500000</f>
        <v>3394000</v>
      </c>
      <c r="E340" s="25">
        <f>+IF(D335&lt;D341,IF(D335&gt;D340,D335-D340,0),D341-D340)</f>
        <v>0</v>
      </c>
      <c r="F340">
        <v>0.015</v>
      </c>
    </row>
    <row r="341" spans="2:5" ht="12.75">
      <c r="B341" t="s">
        <v>78</v>
      </c>
      <c r="D341" s="25">
        <f>+$C$4*2000000</f>
        <v>13576000</v>
      </c>
      <c r="E341" s="25"/>
    </row>
    <row r="342" spans="4:5" ht="12.75">
      <c r="D342" s="25"/>
      <c r="E342" s="25"/>
    </row>
    <row r="343" spans="2:6" ht="12.75">
      <c r="B343" t="s">
        <v>79</v>
      </c>
      <c r="D343" s="25">
        <f>+$C$4*2000000</f>
        <v>13576000</v>
      </c>
      <c r="E343" s="25">
        <f>+IF(D335&lt;D344,IF(D335&gt;D343,D335-D343,0),D344-D343)</f>
        <v>0</v>
      </c>
      <c r="F343">
        <v>0.0125</v>
      </c>
    </row>
    <row r="344" spans="2:5" ht="12.75">
      <c r="B344" t="s">
        <v>49</v>
      </c>
      <c r="D344" s="25">
        <f>+$C$4*5000000</f>
        <v>33940000</v>
      </c>
      <c r="E344" s="25"/>
    </row>
    <row r="346" spans="2:6" ht="12.75">
      <c r="B346" t="s">
        <v>50</v>
      </c>
      <c r="D346" s="25">
        <f>+$C$4*5000000</f>
        <v>33940000</v>
      </c>
      <c r="E346" s="25">
        <f>+IF(D335&gt;D346,D335-D346,0)</f>
        <v>0</v>
      </c>
      <c r="F346">
        <v>0.01</v>
      </c>
    </row>
    <row r="347" spans="4:5" ht="12.75">
      <c r="D347" s="25"/>
      <c r="E347" s="25"/>
    </row>
    <row r="348" spans="2:6" ht="12.75">
      <c r="B348" t="s">
        <v>80</v>
      </c>
      <c r="D348" s="25"/>
      <c r="F348" s="2">
        <f>(+E338*F338+E340*F340+E343*F343+E346*F346)</f>
        <v>0</v>
      </c>
    </row>
    <row r="350" ht="12.75">
      <c r="B350" t="s">
        <v>81</v>
      </c>
    </row>
    <row r="351" spans="2:4" ht="12.75">
      <c r="B351" t="s">
        <v>36</v>
      </c>
      <c r="D351" s="9">
        <f>+'Datos Resultado '!D158</f>
        <v>0</v>
      </c>
    </row>
    <row r="352" spans="2:11" ht="12.75">
      <c r="B352" t="s">
        <v>23</v>
      </c>
      <c r="D352" t="s">
        <v>34</v>
      </c>
      <c r="E352" s="2">
        <f>750*$C$5*D351</f>
        <v>0</v>
      </c>
      <c r="F352" s="3"/>
      <c r="G352" s="3"/>
      <c r="H352" s="3"/>
      <c r="I352" s="3"/>
      <c r="J352" s="3"/>
      <c r="K352" s="3"/>
    </row>
    <row r="354" spans="2:6" ht="12.75">
      <c r="B354" t="s">
        <v>84</v>
      </c>
      <c r="D354" t="s">
        <v>82</v>
      </c>
      <c r="E354" s="22"/>
      <c r="F354" s="2"/>
    </row>
    <row r="355" ht="12.75">
      <c r="F355" s="2"/>
    </row>
    <row r="356" spans="4:5" ht="12.75">
      <c r="D356" t="s">
        <v>109</v>
      </c>
      <c r="E356" s="32">
        <f>+D332+F348+E352</f>
        <v>0</v>
      </c>
    </row>
    <row r="357" spans="4:5" ht="12.75">
      <c r="D357" t="s">
        <v>108</v>
      </c>
      <c r="E357" s="36">
        <f>IF(E356*$D$2&gt;0,(IF(E356*$D$2&lt;$C$8,$C$8,E356*$D$2)),0)</f>
        <v>0</v>
      </c>
    </row>
    <row r="359" spans="1:2" ht="12.75">
      <c r="A359">
        <v>13</v>
      </c>
      <c r="B359" s="4" t="s">
        <v>138</v>
      </c>
    </row>
    <row r="360" ht="12.75">
      <c r="B360" t="s">
        <v>134</v>
      </c>
    </row>
    <row r="361" ht="12.75">
      <c r="B361" t="s">
        <v>135</v>
      </c>
    </row>
    <row r="362" spans="2:5" ht="12.75">
      <c r="B362" t="s">
        <v>136</v>
      </c>
      <c r="E362" s="9">
        <f>+'Datos Resultado '!E167</f>
        <v>0</v>
      </c>
    </row>
    <row r="363" spans="2:5" ht="12.75">
      <c r="B363" s="6" t="s">
        <v>116</v>
      </c>
      <c r="E363" s="9">
        <f>+'Datos Resultado '!E168</f>
        <v>0</v>
      </c>
    </row>
    <row r="364" ht="12.75">
      <c r="B364" s="6"/>
    </row>
    <row r="365" spans="2:5" ht="12.75">
      <c r="B365" s="6" t="s">
        <v>117</v>
      </c>
      <c r="E365" s="25">
        <f>+E363*1.25</f>
        <v>0</v>
      </c>
    </row>
    <row r="366" ht="12.75">
      <c r="F366" t="s">
        <v>22</v>
      </c>
    </row>
    <row r="368" spans="2:6" ht="12.75">
      <c r="B368" t="s">
        <v>47</v>
      </c>
      <c r="D368" s="25">
        <f>+$C$4*500000</f>
        <v>3394000</v>
      </c>
      <c r="E368" s="25">
        <f>+IF(E365&gt;D368,D368,E365)</f>
        <v>0</v>
      </c>
      <c r="F368">
        <v>0.07</v>
      </c>
    </row>
    <row r="369" spans="4:5" ht="12.75">
      <c r="D369" s="25"/>
      <c r="E369" s="25"/>
    </row>
    <row r="370" spans="2:6" ht="12.75">
      <c r="B370" t="s">
        <v>48</v>
      </c>
      <c r="D370" s="25">
        <f>+$C$4*500000</f>
        <v>3394000</v>
      </c>
      <c r="E370" s="25">
        <f>+IF(E365&lt;D371,IF(E365&gt;D370,E365-D370,0),D371-D370)</f>
        <v>0</v>
      </c>
      <c r="F370">
        <v>0.055</v>
      </c>
    </row>
    <row r="371" spans="2:5" ht="12.75">
      <c r="B371" t="s">
        <v>3</v>
      </c>
      <c r="D371" s="25">
        <f>+$C$4*1000000</f>
        <v>6788000</v>
      </c>
      <c r="E371" s="25"/>
    </row>
    <row r="372" spans="4:5" ht="12.75">
      <c r="D372" s="25"/>
      <c r="E372" s="25"/>
    </row>
    <row r="373" spans="2:6" ht="12.75">
      <c r="B373" t="s">
        <v>4</v>
      </c>
      <c r="D373" s="25">
        <f>+$C$4*1000000</f>
        <v>6788000</v>
      </c>
      <c r="E373" s="25">
        <f>+IF(E365&lt;D374,IF(E365&gt;D373,E365-D373,0),D374-D373)</f>
        <v>0</v>
      </c>
      <c r="F373">
        <v>0.04</v>
      </c>
    </row>
    <row r="374" spans="2:5" ht="12.75">
      <c r="B374" t="s">
        <v>49</v>
      </c>
      <c r="D374" s="25">
        <f>+$C$4*5000000</f>
        <v>33940000</v>
      </c>
      <c r="E374" s="25"/>
    </row>
    <row r="376" spans="2:6" ht="12.75">
      <c r="B376" t="s">
        <v>50</v>
      </c>
      <c r="D376" s="25">
        <f>+$C$4*5000000</f>
        <v>33940000</v>
      </c>
      <c r="E376" s="25">
        <f>+IF(E365&gt;D376,E365-D376,0)</f>
        <v>0</v>
      </c>
      <c r="F376">
        <v>0.025</v>
      </c>
    </row>
    <row r="377" spans="4:5" ht="12.75">
      <c r="D377" s="25"/>
      <c r="E377" s="25"/>
    </row>
    <row r="378" spans="4:6" ht="12.75">
      <c r="D378" s="25"/>
      <c r="E378" s="25"/>
      <c r="F378" s="22">
        <f>(+E368*F368+E370*F370+E373*F373+E376*F376)</f>
        <v>0</v>
      </c>
    </row>
    <row r="379" spans="2:6" ht="12.75">
      <c r="B379" t="s">
        <v>40</v>
      </c>
      <c r="D379" s="28" t="s">
        <v>53</v>
      </c>
      <c r="F379" s="31">
        <f>4000*$C$5</f>
        <v>61140</v>
      </c>
    </row>
    <row r="380" spans="2:6" ht="12.75">
      <c r="B380" t="s">
        <v>175</v>
      </c>
      <c r="D380" s="25"/>
      <c r="F380" s="3">
        <f>IF(F378&gt;0,IF(F378&gt;F379,F378,F379),0)</f>
        <v>0</v>
      </c>
    </row>
    <row r="382" ht="12.75">
      <c r="B382" t="s">
        <v>85</v>
      </c>
    </row>
    <row r="384" ht="12.75">
      <c r="B384" t="s">
        <v>74</v>
      </c>
    </row>
    <row r="385" spans="2:6" ht="12.75">
      <c r="B385" t="s">
        <v>75</v>
      </c>
      <c r="F385">
        <f>+E362</f>
        <v>0</v>
      </c>
    </row>
    <row r="387" spans="2:6" ht="12.75">
      <c r="B387" t="s">
        <v>76</v>
      </c>
      <c r="F387" s="2">
        <f>+F380</f>
        <v>0</v>
      </c>
    </row>
    <row r="389" spans="5:6" ht="12.75">
      <c r="E389" t="s">
        <v>109</v>
      </c>
      <c r="F389" s="14">
        <f>+F387+F385</f>
        <v>0</v>
      </c>
    </row>
    <row r="390" spans="5:6" ht="12.75">
      <c r="E390" t="s">
        <v>108</v>
      </c>
      <c r="F390" s="15">
        <f>IF(F389*$D$2&gt;0,(IF(F389*$D$2&lt;$C$8,$C$8,F389*$D$2)),0)</f>
        <v>0</v>
      </c>
    </row>
    <row r="392" spans="1:2" ht="12.75">
      <c r="A392">
        <v>14</v>
      </c>
      <c r="B392" s="4" t="s">
        <v>139</v>
      </c>
    </row>
    <row r="393" ht="12.75">
      <c r="B393" t="s">
        <v>134</v>
      </c>
    </row>
    <row r="394" ht="12.75">
      <c r="B394" t="s">
        <v>135</v>
      </c>
    </row>
    <row r="395" spans="2:5" ht="12.75">
      <c r="B395" t="s">
        <v>136</v>
      </c>
      <c r="E395" s="9">
        <f>+'Datos Resultado '!E178</f>
        <v>0</v>
      </c>
    </row>
    <row r="396" ht="12.75">
      <c r="B396" s="6"/>
    </row>
    <row r="397" spans="2:5" ht="12.75">
      <c r="B397" s="6" t="s">
        <v>124</v>
      </c>
      <c r="E397" s="9">
        <f>+'Datos Resultado '!E179</f>
        <v>0</v>
      </c>
    </row>
    <row r="398" ht="12.75">
      <c r="F398" t="s">
        <v>22</v>
      </c>
    </row>
    <row r="400" spans="2:6" ht="12.75">
      <c r="B400" t="s">
        <v>47</v>
      </c>
      <c r="D400" s="25">
        <f>+$C$4*500000</f>
        <v>3394000</v>
      </c>
      <c r="E400" s="25">
        <f>+IF(E397&gt;D400,D400,E397)</f>
        <v>0</v>
      </c>
      <c r="F400">
        <v>0.07</v>
      </c>
    </row>
    <row r="401" spans="4:5" ht="12.75">
      <c r="D401" s="25"/>
      <c r="E401" s="25"/>
    </row>
    <row r="402" spans="2:6" ht="12.75">
      <c r="B402" t="s">
        <v>48</v>
      </c>
      <c r="D402" s="25">
        <f>+$C$4*500000</f>
        <v>3394000</v>
      </c>
      <c r="E402" s="25">
        <f>+IF(E397&lt;D403,IF(E397&gt;D402,E397-D402,0),D403-D402)</f>
        <v>0</v>
      </c>
      <c r="F402">
        <v>0.055</v>
      </c>
    </row>
    <row r="403" spans="2:5" ht="12.75">
      <c r="B403" t="s">
        <v>3</v>
      </c>
      <c r="D403" s="25">
        <f>+$C$4*1000000</f>
        <v>6788000</v>
      </c>
      <c r="E403" s="25"/>
    </row>
    <row r="404" spans="4:5" ht="12.75">
      <c r="D404" s="25"/>
      <c r="E404" s="25"/>
    </row>
    <row r="405" spans="2:6" ht="12.75">
      <c r="B405" t="s">
        <v>4</v>
      </c>
      <c r="D405" s="25">
        <f>+$C$4*1000000</f>
        <v>6788000</v>
      </c>
      <c r="E405" s="25">
        <f>+IF(E397&lt;D406,IF(E397&gt;D405,E397-D405,0),D406-D405)</f>
        <v>0</v>
      </c>
      <c r="F405">
        <v>0.04</v>
      </c>
    </row>
    <row r="406" spans="2:5" ht="12.75">
      <c r="B406" t="s">
        <v>49</v>
      </c>
      <c r="D406" s="25">
        <f>+$C$4*5000000</f>
        <v>33940000</v>
      </c>
      <c r="E406" s="25"/>
    </row>
    <row r="408" spans="2:6" ht="12.75">
      <c r="B408" t="s">
        <v>50</v>
      </c>
      <c r="D408" s="25">
        <f>+$C$4*5000000</f>
        <v>33940000</v>
      </c>
      <c r="E408" s="25">
        <f>+IF(E397&gt;D408,E397-D408,0)</f>
        <v>0</v>
      </c>
      <c r="F408">
        <v>0.025</v>
      </c>
    </row>
    <row r="409" spans="4:5" ht="12.75">
      <c r="D409" s="25"/>
      <c r="E409" s="25"/>
    </row>
    <row r="410" spans="4:6" ht="12.75">
      <c r="D410" s="25"/>
      <c r="E410" s="25"/>
      <c r="F410" s="22">
        <f>(+E400*F400+E402*F402+E405*F405+E408*F408)</f>
        <v>0</v>
      </c>
    </row>
    <row r="411" spans="2:6" ht="12.75">
      <c r="B411" t="s">
        <v>40</v>
      </c>
      <c r="D411" s="28" t="s">
        <v>53</v>
      </c>
      <c r="F411" s="31">
        <f>4000*$C$5</f>
        <v>61140</v>
      </c>
    </row>
    <row r="412" spans="2:6" ht="12.75">
      <c r="B412" t="s">
        <v>175</v>
      </c>
      <c r="D412" s="25"/>
      <c r="F412" s="3">
        <f>IF(F410&gt;0,IF(F410&gt;F411,F410,F411),0)</f>
        <v>0</v>
      </c>
    </row>
    <row r="414" ht="12.75">
      <c r="B414" t="s">
        <v>85</v>
      </c>
    </row>
    <row r="416" ht="12.75">
      <c r="B416" t="s">
        <v>74</v>
      </c>
    </row>
    <row r="417" spans="2:6" ht="12.75">
      <c r="B417" t="s">
        <v>75</v>
      </c>
      <c r="F417">
        <f>+E395</f>
        <v>0</v>
      </c>
    </row>
    <row r="419" spans="2:6" ht="12.75">
      <c r="B419" t="s">
        <v>76</v>
      </c>
      <c r="F419" s="29">
        <f>+F412</f>
        <v>0</v>
      </c>
    </row>
    <row r="421" spans="5:6" ht="12.75">
      <c r="E421" t="s">
        <v>109</v>
      </c>
      <c r="F421" s="14">
        <f>+F419+F417</f>
        <v>0</v>
      </c>
    </row>
    <row r="422" spans="5:6" ht="12.75">
      <c r="E422" t="s">
        <v>108</v>
      </c>
      <c r="F422" s="15">
        <f>IF(F421*$D$2&gt;0,(IF(F421*$D$2&lt;$C$8,$C$8,F421*$D$2)),0)</f>
        <v>0</v>
      </c>
    </row>
    <row r="423" spans="1:2" ht="12.75">
      <c r="A423">
        <v>15</v>
      </c>
      <c r="B423" s="4" t="s">
        <v>140</v>
      </c>
    </row>
    <row r="426" ht="12.75">
      <c r="B426" t="s">
        <v>134</v>
      </c>
    </row>
    <row r="427" ht="12.75">
      <c r="B427" t="s">
        <v>135</v>
      </c>
    </row>
    <row r="428" spans="2:4" ht="12.75">
      <c r="B428" t="s">
        <v>136</v>
      </c>
      <c r="D428" s="9">
        <f>+'Datos Resultado '!D188</f>
        <v>0</v>
      </c>
    </row>
    <row r="430" spans="2:4" ht="12.75">
      <c r="B430" s="6" t="s">
        <v>77</v>
      </c>
      <c r="D430" s="9">
        <f>+'Datos Resultado '!D189</f>
        <v>0</v>
      </c>
    </row>
    <row r="432" ht="12.75">
      <c r="F432" t="s">
        <v>22</v>
      </c>
    </row>
    <row r="433" spans="6:8" ht="12.75">
      <c r="F433" t="s">
        <v>56</v>
      </c>
      <c r="G433" t="s">
        <v>57</v>
      </c>
      <c r="H433" t="s">
        <v>58</v>
      </c>
    </row>
    <row r="434" spans="2:8" ht="12.75">
      <c r="B434" t="s">
        <v>54</v>
      </c>
      <c r="D434" s="25">
        <f>+$C$4*500000</f>
        <v>3394000</v>
      </c>
      <c r="E434" s="25">
        <f>+IF(D430&gt;D434,D434,D430)</f>
        <v>0</v>
      </c>
      <c r="F434">
        <v>0.005</v>
      </c>
      <c r="G434">
        <v>0.0075</v>
      </c>
      <c r="H434">
        <v>0.0125</v>
      </c>
    </row>
    <row r="435" spans="4:5" ht="12.75">
      <c r="D435" s="25"/>
      <c r="E435" s="25"/>
    </row>
    <row r="436" spans="2:8" ht="12.75">
      <c r="B436" t="s">
        <v>55</v>
      </c>
      <c r="D436" s="25">
        <f>+$C$4*500000</f>
        <v>3394000</v>
      </c>
      <c r="E436" s="25">
        <f>+IF(D430&lt;D437,IF(D430&gt;D436,D430-D436,0),D437-D436)</f>
        <v>0</v>
      </c>
      <c r="F436">
        <v>0.003</v>
      </c>
      <c r="G436">
        <v>0.005</v>
      </c>
      <c r="H436">
        <v>0.01</v>
      </c>
    </row>
    <row r="437" spans="2:5" ht="12.75">
      <c r="B437" t="s">
        <v>5</v>
      </c>
      <c r="D437" s="25">
        <f>+$C$4*1000000</f>
        <v>6788000</v>
      </c>
      <c r="E437" s="25"/>
    </row>
    <row r="438" spans="4:5" ht="12.75">
      <c r="D438" s="25"/>
      <c r="E438" s="25"/>
    </row>
    <row r="439" spans="2:8" ht="12.75">
      <c r="B439" t="s">
        <v>6</v>
      </c>
      <c r="D439" s="25">
        <f>+$C$4*1000000</f>
        <v>6788000</v>
      </c>
      <c r="E439" s="25">
        <f>+IF(D430&lt;D440,IF(D430&gt;D439,D430-D439,0),D440-D439)</f>
        <v>0</v>
      </c>
      <c r="F439">
        <v>0.0025</v>
      </c>
      <c r="G439">
        <v>0.004</v>
      </c>
      <c r="H439">
        <v>0.0075</v>
      </c>
    </row>
    <row r="440" spans="2:5" ht="12.75">
      <c r="B440" t="s">
        <v>7</v>
      </c>
      <c r="D440" s="25">
        <f>+$C$4*5000000</f>
        <v>33940000</v>
      </c>
      <c r="E440" s="25"/>
    </row>
    <row r="442" spans="2:8" ht="12.75">
      <c r="B442" t="s">
        <v>8</v>
      </c>
      <c r="D442" s="25">
        <f>+$C$4*5000000</f>
        <v>33940000</v>
      </c>
      <c r="E442" s="25">
        <f>+IF(D430&gt;D442,D430-D442,0)</f>
        <v>0</v>
      </c>
      <c r="F442">
        <v>0.002</v>
      </c>
      <c r="G442">
        <v>0.003</v>
      </c>
      <c r="H442">
        <v>0.005</v>
      </c>
    </row>
    <row r="443" spans="4:5" ht="12.75">
      <c r="D443" s="25"/>
      <c r="E443" s="25"/>
    </row>
    <row r="444" spans="4:8" ht="12.75">
      <c r="D444" s="25"/>
      <c r="E444" s="25"/>
      <c r="F444" s="22">
        <f>IF('Datos Resultado '!D190=1,(+$E434*F434+$E436*F436+$E439*F439+$E442*F442),0)</f>
        <v>0</v>
      </c>
      <c r="G444" s="22">
        <f>IF('Datos Resultado '!D190=2,(+$E434*G434+$E436*G436+$E439*G439+$E442*G442),0)</f>
        <v>0</v>
      </c>
      <c r="H444" s="22">
        <f>IF('Datos Resultado '!D190=3,(+$E434*H434+$E436*H436+$E439*H439+$E442*H442),0)</f>
        <v>0</v>
      </c>
    </row>
    <row r="445" spans="2:5" ht="12.75">
      <c r="B445" t="s">
        <v>40</v>
      </c>
      <c r="E445" s="25"/>
    </row>
    <row r="446" spans="2:5" ht="12.75">
      <c r="B446" t="s">
        <v>66</v>
      </c>
      <c r="D446" s="28" t="s">
        <v>59</v>
      </c>
      <c r="E446" s="28">
        <f>500*$C$5</f>
        <v>7642.5</v>
      </c>
    </row>
    <row r="447" spans="2:5" ht="12.75">
      <c r="B447" t="s">
        <v>67</v>
      </c>
      <c r="D447" s="28" t="s">
        <v>61</v>
      </c>
      <c r="E447" s="28">
        <f>1000*$C$5</f>
        <v>15285</v>
      </c>
    </row>
    <row r="448" spans="2:5" ht="12.75">
      <c r="B448" t="s">
        <v>68</v>
      </c>
      <c r="D448" s="28" t="s">
        <v>60</v>
      </c>
      <c r="E448" s="28">
        <f>1500*$C$5</f>
        <v>22927.5</v>
      </c>
    </row>
    <row r="449" spans="6:8" ht="12.75">
      <c r="F449" s="2">
        <f>IF(F444&gt;0,IF(F444&gt;E446,F444,E446),0)</f>
        <v>0</v>
      </c>
      <c r="G449" s="2">
        <f>IF(G444&gt;0,IF(G444&gt;E447,G444,E447),0)</f>
        <v>0</v>
      </c>
      <c r="H449" s="2">
        <f>IF(H444&gt;0,IF(H444&gt;E448,H444,E448),0)</f>
        <v>0</v>
      </c>
    </row>
    <row r="450" spans="2:8" ht="12.75">
      <c r="B450" t="s">
        <v>125</v>
      </c>
      <c r="F450" s="39">
        <f>+F449</f>
        <v>0</v>
      </c>
      <c r="G450" s="39">
        <f>+G449</f>
        <v>0</v>
      </c>
      <c r="H450" s="39">
        <f>+H449</f>
        <v>0</v>
      </c>
    </row>
    <row r="452" ht="12.75">
      <c r="B452" t="s">
        <v>85</v>
      </c>
    </row>
    <row r="454" ht="12.75">
      <c r="B454" t="s">
        <v>74</v>
      </c>
    </row>
    <row r="455" spans="2:6" ht="12.75">
      <c r="B455" t="s">
        <v>75</v>
      </c>
      <c r="F455">
        <f>+D428</f>
        <v>0</v>
      </c>
    </row>
    <row r="457" spans="2:8" ht="12.75">
      <c r="B457" t="s">
        <v>76</v>
      </c>
      <c r="F457" s="29">
        <f>+F450</f>
        <v>0</v>
      </c>
      <c r="G457" s="29">
        <f>+G450</f>
        <v>0</v>
      </c>
      <c r="H457" s="29">
        <f>+H450</f>
        <v>0</v>
      </c>
    </row>
    <row r="459" spans="5:8" ht="12.75">
      <c r="E459" t="s">
        <v>109</v>
      </c>
      <c r="F459" s="23">
        <f>IF(F457&gt;0,F457+F455,0)</f>
        <v>0</v>
      </c>
      <c r="G459" s="23">
        <f>IF(G457&gt;0,G457+F455,0)</f>
        <v>0</v>
      </c>
      <c r="H459" s="23">
        <f>IF(H457&gt;0,H457+F455,0)</f>
        <v>0</v>
      </c>
    </row>
    <row r="460" spans="5:8" ht="12.75">
      <c r="E460" t="s">
        <v>108</v>
      </c>
      <c r="F460" s="24">
        <f>IF(F459*$D$2&gt;0,(IF(F459*$D$2&lt;$C$8,$C$8,F459*$D$2)),0)</f>
        <v>0</v>
      </c>
      <c r="G460" s="24">
        <f>IF(G459*$D$2&gt;0,(IF(G459*$D$2&lt;$C$8,$C$8,G459*$D$2)),0)</f>
        <v>0</v>
      </c>
      <c r="H460" s="24">
        <f>IF(H459*$D$2&gt;0,(IF(H459*$D$2&lt;$C$8,$C$8,H459*$D$2)),0)</f>
        <v>0</v>
      </c>
    </row>
    <row r="463" spans="1:2" ht="12.75">
      <c r="A463">
        <v>16</v>
      </c>
      <c r="B463" s="4" t="s">
        <v>142</v>
      </c>
    </row>
    <row r="464" ht="12.75">
      <c r="B464" t="s">
        <v>86</v>
      </c>
    </row>
    <row r="465" ht="12.75">
      <c r="B465" t="s">
        <v>87</v>
      </c>
    </row>
    <row r="467" spans="2:6" ht="12.75">
      <c r="B467" s="6" t="s">
        <v>143</v>
      </c>
      <c r="F467" s="9">
        <f>+'Datos Resultado '!F202</f>
        <v>0</v>
      </c>
    </row>
    <row r="469" spans="2:6" ht="12.75">
      <c r="B469" s="6" t="s">
        <v>144</v>
      </c>
      <c r="F469">
        <f>0.1*F467</f>
        <v>0</v>
      </c>
    </row>
    <row r="471" spans="2:6" ht="12.75">
      <c r="B471" t="s">
        <v>109</v>
      </c>
      <c r="F471" s="14">
        <f>+F469</f>
        <v>0</v>
      </c>
    </row>
    <row r="472" spans="2:6" ht="12.75">
      <c r="B472" t="s">
        <v>108</v>
      </c>
      <c r="F472" s="21">
        <f>IF(F471*$D$2&gt;0,(IF(F471*$D$2&lt;$C$8,$C$8,F471*$D$2)),0)</f>
        <v>0</v>
      </c>
    </row>
    <row r="474" spans="1:2" ht="12.75">
      <c r="A474">
        <v>17</v>
      </c>
      <c r="B474" s="4" t="s">
        <v>145</v>
      </c>
    </row>
    <row r="475" ht="12.75">
      <c r="B475" s="4"/>
    </row>
    <row r="476" spans="2:4" ht="12.75">
      <c r="B476" s="6" t="s">
        <v>88</v>
      </c>
      <c r="D476" s="9">
        <f>+'Datos Resultado '!D210</f>
        <v>12199250</v>
      </c>
    </row>
    <row r="477" ht="12.75">
      <c r="F477" t="s">
        <v>22</v>
      </c>
    </row>
    <row r="479" spans="2:6" ht="12.75">
      <c r="B479" t="s">
        <v>3</v>
      </c>
      <c r="D479" s="25">
        <f>+$C$4*1000000</f>
        <v>6788000</v>
      </c>
      <c r="E479" s="25">
        <f>+IF(D476&gt;D479,D479,D476)</f>
        <v>6788000</v>
      </c>
      <c r="F479">
        <v>0.035</v>
      </c>
    </row>
    <row r="480" spans="4:5" ht="12.75">
      <c r="D480" s="25"/>
      <c r="E480" s="25"/>
    </row>
    <row r="481" spans="2:6" ht="12.75">
      <c r="B481" t="s">
        <v>4</v>
      </c>
      <c r="D481" s="25">
        <f>+$C$4*1000000</f>
        <v>6788000</v>
      </c>
      <c r="E481" s="25">
        <f>+IF(D476&lt;D482,IF(D476&gt;D481,D476-D481,0),D482-D481)</f>
        <v>5411250</v>
      </c>
      <c r="F481">
        <v>0.015</v>
      </c>
    </row>
    <row r="482" spans="2:5" ht="12.75">
      <c r="B482" t="s">
        <v>5</v>
      </c>
      <c r="D482" s="25">
        <f>+$C$4*10000000</f>
        <v>67880000</v>
      </c>
      <c r="E482" s="25"/>
    </row>
    <row r="483" spans="4:5" ht="12.75">
      <c r="D483" s="25"/>
      <c r="E483" s="25"/>
    </row>
    <row r="484" spans="2:6" ht="12.75">
      <c r="B484" t="s">
        <v>6</v>
      </c>
      <c r="D484" s="25">
        <f>+$C$4*10000000</f>
        <v>67880000</v>
      </c>
      <c r="E484" s="25">
        <f>+IF(D476&lt;D485,IF(D476&gt;D484,D476-D484,0),D485-D484)</f>
        <v>0</v>
      </c>
      <c r="F484">
        <v>0.01</v>
      </c>
    </row>
    <row r="485" spans="2:5" ht="12.75">
      <c r="B485" t="s">
        <v>7</v>
      </c>
      <c r="D485" s="25">
        <f>+$C$4*100000000</f>
        <v>678800000</v>
      </c>
      <c r="E485" s="25"/>
    </row>
    <row r="487" spans="2:6" ht="12.75">
      <c r="B487" t="s">
        <v>8</v>
      </c>
      <c r="D487" s="25">
        <f>+$C$4*100000000</f>
        <v>678800000</v>
      </c>
      <c r="E487" s="25">
        <f>+IF(D476&gt;D487,D476-D487,0)</f>
        <v>0</v>
      </c>
      <c r="F487">
        <v>0.007</v>
      </c>
    </row>
    <row r="488" spans="4:5" ht="12.75">
      <c r="D488" s="25"/>
      <c r="E488" s="25">
        <f>SUM(E479:E487)</f>
        <v>12199250</v>
      </c>
    </row>
    <row r="489" spans="2:6" ht="12.75">
      <c r="B489" t="s">
        <v>89</v>
      </c>
      <c r="D489" s="25"/>
      <c r="F489" s="2">
        <f>(+E479*F479+E481*F481+E484*F484+E487*F487)</f>
        <v>318748.75</v>
      </c>
    </row>
    <row r="491" spans="2:6" ht="12.75">
      <c r="B491" t="s">
        <v>109</v>
      </c>
      <c r="E491" t="s">
        <v>109</v>
      </c>
      <c r="F491" s="14">
        <f>IF(F489&gt;0,IF(F489&gt;E489,F489,E4898),0)</f>
        <v>318748.75</v>
      </c>
    </row>
    <row r="492" spans="2:6" ht="12.75">
      <c r="B492" t="s">
        <v>108</v>
      </c>
      <c r="E492" t="s">
        <v>108</v>
      </c>
      <c r="F492" s="17">
        <f>IF(F491*$D$2&gt;0,(IF(F491*$D$2&lt;$C$8,$C$8,F491*$D$2)),0)</f>
        <v>6374.975</v>
      </c>
    </row>
    <row r="495" spans="1:2" ht="12.75">
      <c r="A495">
        <v>18</v>
      </c>
      <c r="B495" s="4" t="s">
        <v>146</v>
      </c>
    </row>
    <row r="496" ht="12.75">
      <c r="B496" s="4" t="s">
        <v>147</v>
      </c>
    </row>
    <row r="498" spans="2:4" ht="12.75">
      <c r="B498" s="6" t="s">
        <v>88</v>
      </c>
      <c r="D498" s="9">
        <f>+'Datos Resultado '!D219</f>
        <v>0</v>
      </c>
    </row>
    <row r="499" ht="12.75">
      <c r="F499" t="s">
        <v>22</v>
      </c>
    </row>
    <row r="501" spans="2:6" ht="12.75">
      <c r="B501" t="s">
        <v>3</v>
      </c>
      <c r="D501" s="25">
        <f>+$C$4*1000000</f>
        <v>6788000</v>
      </c>
      <c r="E501" s="25">
        <f>+IF(D498&gt;D501,D501,D498)</f>
        <v>0</v>
      </c>
      <c r="F501">
        <f>0.035*2</f>
        <v>0.07</v>
      </c>
    </row>
    <row r="502" spans="4:5" ht="12.75">
      <c r="D502" s="25"/>
      <c r="E502" s="25"/>
    </row>
    <row r="503" spans="2:6" ht="12.75">
      <c r="B503" t="s">
        <v>4</v>
      </c>
      <c r="D503" s="25">
        <f>+$C$4*1000000</f>
        <v>6788000</v>
      </c>
      <c r="E503" s="25">
        <f>+IF(D498&lt;D504,IF(D498&gt;D503,D498-D503,0),D504-D503)</f>
        <v>0</v>
      </c>
      <c r="F503">
        <f>0.015*2</f>
        <v>0.03</v>
      </c>
    </row>
    <row r="504" spans="2:5" ht="12.75">
      <c r="B504" t="s">
        <v>5</v>
      </c>
      <c r="D504" s="25">
        <f>+$C$4*10000000</f>
        <v>67880000</v>
      </c>
      <c r="E504" s="25"/>
    </row>
    <row r="505" spans="4:5" ht="12.75">
      <c r="D505" s="25"/>
      <c r="E505" s="25"/>
    </row>
    <row r="506" spans="2:6" ht="12.75">
      <c r="B506" t="s">
        <v>6</v>
      </c>
      <c r="D506" s="25">
        <f>+$C$4*10000000</f>
        <v>67880000</v>
      </c>
      <c r="E506" s="25">
        <f>+IF(D498&lt;D507,IF(D498&gt;D506,D498-D506,0),D507-D506)</f>
        <v>0</v>
      </c>
      <c r="F506">
        <f>0.01*2</f>
        <v>0.02</v>
      </c>
    </row>
    <row r="507" spans="2:5" ht="12.75">
      <c r="B507" t="s">
        <v>7</v>
      </c>
      <c r="D507" s="25">
        <f>+$C$4*100000000</f>
        <v>678800000</v>
      </c>
      <c r="E507" s="25"/>
    </row>
    <row r="509" spans="2:6" ht="12.75">
      <c r="B509" t="s">
        <v>8</v>
      </c>
      <c r="D509" s="25">
        <f>+$C$4*100000000</f>
        <v>678800000</v>
      </c>
      <c r="E509" s="25">
        <f>+IF(D498&gt;D509,D498-D509,0)</f>
        <v>0</v>
      </c>
      <c r="F509">
        <f>0.007*2</f>
        <v>0.014</v>
      </c>
    </row>
    <row r="510" spans="4:5" ht="12.75">
      <c r="D510" s="25"/>
      <c r="E510" s="25">
        <f>SUM(E501:E509)</f>
        <v>0</v>
      </c>
    </row>
    <row r="511" spans="2:6" ht="12.75">
      <c r="B511" t="s">
        <v>89</v>
      </c>
      <c r="D511" s="25"/>
      <c r="F511" s="2">
        <f>(+E501*F501+E503*F503+E506*F506+E509*F509)</f>
        <v>0</v>
      </c>
    </row>
    <row r="513" spans="2:6" ht="12.75">
      <c r="B513" t="s">
        <v>109</v>
      </c>
      <c r="E513" t="s">
        <v>109</v>
      </c>
      <c r="F513" s="14">
        <f>IF(F511&gt;0,IF(F511&gt;E511,F511,E4920),0)</f>
        <v>0</v>
      </c>
    </row>
    <row r="514" spans="2:6" ht="12.75">
      <c r="B514" t="s">
        <v>108</v>
      </c>
      <c r="E514" t="s">
        <v>108</v>
      </c>
      <c r="F514" s="21">
        <f>IF(F513*$D$2&gt;0,(IF(F513*$D$2&lt;$C$8,$C$8,F513*$D$2)),0)</f>
        <v>0</v>
      </c>
    </row>
    <row r="516" spans="1:2" ht="12.75">
      <c r="A516">
        <v>19</v>
      </c>
      <c r="B516" s="4" t="s">
        <v>148</v>
      </c>
    </row>
    <row r="517" ht="12.75">
      <c r="B517" s="4"/>
    </row>
    <row r="518" spans="2:4" ht="12.75">
      <c r="B518" s="6" t="s">
        <v>88</v>
      </c>
      <c r="D518" s="9">
        <f>+'Datos Resultado '!D228</f>
        <v>0</v>
      </c>
    </row>
    <row r="519" spans="2:4" ht="12.75">
      <c r="B519" s="6"/>
      <c r="D519" s="6"/>
    </row>
    <row r="520" ht="12.75">
      <c r="F520" t="s">
        <v>22</v>
      </c>
    </row>
    <row r="522" spans="2:6" ht="12.75">
      <c r="B522" t="s">
        <v>3</v>
      </c>
      <c r="D522" s="25">
        <f>+$C$4*1000000</f>
        <v>6788000</v>
      </c>
      <c r="E522" s="25">
        <f>+IF(D518&gt;D522,D522,D518)</f>
        <v>0</v>
      </c>
      <c r="F522">
        <f>0.035*3</f>
        <v>0.10500000000000001</v>
      </c>
    </row>
    <row r="523" spans="4:5" ht="12.75">
      <c r="D523" s="25"/>
      <c r="E523" s="25"/>
    </row>
    <row r="524" spans="2:6" ht="12.75">
      <c r="B524" t="s">
        <v>4</v>
      </c>
      <c r="D524" s="25">
        <f>+$C$4*1000000</f>
        <v>6788000</v>
      </c>
      <c r="E524" s="25">
        <f>+IF(D518&lt;D525,IF(D518&gt;D524,D518-D524,0),D525-D524)</f>
        <v>0</v>
      </c>
      <c r="F524">
        <f>0.015*3</f>
        <v>0.045</v>
      </c>
    </row>
    <row r="525" spans="2:5" ht="12.75">
      <c r="B525" t="s">
        <v>5</v>
      </c>
      <c r="D525" s="25">
        <f>+$C$4*10000000</f>
        <v>67880000</v>
      </c>
      <c r="E525" s="25"/>
    </row>
    <row r="526" spans="4:5" ht="12.75">
      <c r="D526" s="25"/>
      <c r="E526" s="25"/>
    </row>
    <row r="527" spans="2:6" ht="12.75">
      <c r="B527" t="s">
        <v>6</v>
      </c>
      <c r="D527" s="25">
        <f>+$C$4*10000000</f>
        <v>67880000</v>
      </c>
      <c r="E527" s="25">
        <f>+IF(D518&lt;D528,IF(D518&gt;D527,D518-D527,0),D528-D527)</f>
        <v>0</v>
      </c>
      <c r="F527">
        <f>0.01*3</f>
        <v>0.03</v>
      </c>
    </row>
    <row r="528" spans="2:5" ht="12.75">
      <c r="B528" t="s">
        <v>7</v>
      </c>
      <c r="D528" s="25">
        <f>+$C$4*100000000</f>
        <v>678800000</v>
      </c>
      <c r="E528" s="25"/>
    </row>
    <row r="530" spans="2:6" ht="12.75">
      <c r="B530" t="s">
        <v>8</v>
      </c>
      <c r="D530" s="25">
        <f>+$C$4*100000000</f>
        <v>678800000</v>
      </c>
      <c r="E530" s="25">
        <f>+IF(D518&gt;D530,D518-D530,0)</f>
        <v>0</v>
      </c>
      <c r="F530">
        <f>0.007*3</f>
        <v>0.021</v>
      </c>
    </row>
    <row r="531" spans="4:5" ht="12.75">
      <c r="D531" s="25"/>
      <c r="E531" s="25">
        <f>SUM(E522:E530)</f>
        <v>0</v>
      </c>
    </row>
    <row r="532" spans="2:6" ht="12.75">
      <c r="B532" t="s">
        <v>89</v>
      </c>
      <c r="D532" s="25"/>
      <c r="F532" s="2">
        <f>(+E522*F522+E524*F524+E527*F527+E530*F530)</f>
        <v>0</v>
      </c>
    </row>
    <row r="534" spans="2:6" ht="12.75">
      <c r="B534" t="s">
        <v>109</v>
      </c>
      <c r="E534" t="s">
        <v>109</v>
      </c>
      <c r="F534" s="14">
        <f>IF(F532&gt;0,IF(F532&gt;E532,F532,E4941),0)</f>
        <v>0</v>
      </c>
    </row>
    <row r="535" spans="2:6" ht="12.75">
      <c r="B535" t="s">
        <v>108</v>
      </c>
      <c r="E535" t="s">
        <v>108</v>
      </c>
      <c r="F535" s="21">
        <f>IF(F534*$D$2&gt;0,(IF(F534*$D$2&lt;$C$8,$C$8,F534*$D$2)),0)</f>
        <v>0</v>
      </c>
    </row>
    <row r="537" spans="1:2" ht="12.75">
      <c r="A537">
        <v>20</v>
      </c>
      <c r="B537" s="4" t="s">
        <v>149</v>
      </c>
    </row>
    <row r="539" spans="2:4" ht="12.75">
      <c r="B539" s="6" t="s">
        <v>88</v>
      </c>
      <c r="D539" s="9">
        <f>+'Datos Resultado '!D236</f>
        <v>0</v>
      </c>
    </row>
    <row r="540" ht="12.75">
      <c r="F540" t="s">
        <v>22</v>
      </c>
    </row>
    <row r="542" spans="2:6" ht="12.75">
      <c r="B542" t="s">
        <v>3</v>
      </c>
      <c r="D542" s="25">
        <f>+$C$4*1000000</f>
        <v>6788000</v>
      </c>
      <c r="E542" s="25">
        <f>+IF(D539&gt;D542,D542,D539)</f>
        <v>0</v>
      </c>
      <c r="F542">
        <v>0.035</v>
      </c>
    </row>
    <row r="543" spans="4:5" ht="12.75">
      <c r="D543" s="25"/>
      <c r="E543" s="25"/>
    </row>
    <row r="544" spans="2:6" ht="12.75">
      <c r="B544" t="s">
        <v>4</v>
      </c>
      <c r="D544" s="25">
        <f>+$C$4*1000000</f>
        <v>6788000</v>
      </c>
      <c r="E544" s="25">
        <f>+IF(D539&lt;D545,IF(D539&gt;D544,D539-D544,0),D545-D544)</f>
        <v>0</v>
      </c>
      <c r="F544">
        <v>0.015</v>
      </c>
    </row>
    <row r="545" spans="2:5" ht="12.75">
      <c r="B545" t="s">
        <v>5</v>
      </c>
      <c r="D545" s="25">
        <f>+$C$4*10000000</f>
        <v>67880000</v>
      </c>
      <c r="E545" s="25"/>
    </row>
    <row r="546" spans="4:5" ht="12.75">
      <c r="D546" s="25"/>
      <c r="E546" s="25"/>
    </row>
    <row r="547" spans="2:6" ht="12.75">
      <c r="B547" t="s">
        <v>6</v>
      </c>
      <c r="D547" s="25">
        <f>+$C$4*10000000</f>
        <v>67880000</v>
      </c>
      <c r="E547" s="25">
        <f>+IF(D539&lt;D548,IF(D539&gt;D547,D539-D547,0),D548-D547)</f>
        <v>0</v>
      </c>
      <c r="F547">
        <v>0.01</v>
      </c>
    </row>
    <row r="548" spans="2:5" ht="12.75">
      <c r="B548" t="s">
        <v>7</v>
      </c>
      <c r="D548" s="25">
        <f>+$C$4*100000000</f>
        <v>678800000</v>
      </c>
      <c r="E548" s="25"/>
    </row>
    <row r="550" spans="2:6" ht="12.75">
      <c r="B550" t="s">
        <v>8</v>
      </c>
      <c r="D550" s="25">
        <f>+$C$4*100000000</f>
        <v>678800000</v>
      </c>
      <c r="E550" s="25">
        <f>+IF(D539&gt;D550,D539-D550,0)</f>
        <v>0</v>
      </c>
      <c r="F550">
        <v>0.007</v>
      </c>
    </row>
    <row r="551" spans="4:5" ht="12.75">
      <c r="D551" s="25"/>
      <c r="E551" s="25">
        <f>SUM(E542:E550)</f>
        <v>0</v>
      </c>
    </row>
    <row r="552" spans="2:6" ht="12.75">
      <c r="B552" t="s">
        <v>89</v>
      </c>
      <c r="D552" s="25"/>
      <c r="F552" s="2">
        <f>(+E542*F542+E544*F544+E547*F547+E550*F550)</f>
        <v>0</v>
      </c>
    </row>
    <row r="554" ht="12.75">
      <c r="B554" t="s">
        <v>96</v>
      </c>
    </row>
    <row r="555" spans="2:5" ht="12.75">
      <c r="B555" t="s">
        <v>97</v>
      </c>
      <c r="E555" s="7">
        <v>0.2</v>
      </c>
    </row>
    <row r="556" ht="12.75">
      <c r="E556" s="2"/>
    </row>
    <row r="557" spans="3:6" ht="12.75">
      <c r="C557" t="s">
        <v>102</v>
      </c>
      <c r="E557" s="2">
        <f>500*$C$5</f>
        <v>7642.5</v>
      </c>
      <c r="F557">
        <f>+F552*E555</f>
        <v>0</v>
      </c>
    </row>
    <row r="558" ht="12.75">
      <c r="E558" s="2"/>
    </row>
    <row r="559" spans="5:6" ht="12.75">
      <c r="E559" t="s">
        <v>109</v>
      </c>
      <c r="F559" s="14">
        <f>IF(F557&gt;0,IF(F557&gt;E557,F557,E4966),0)</f>
        <v>0</v>
      </c>
    </row>
    <row r="560" spans="5:6" ht="12.75">
      <c r="E560" t="s">
        <v>108</v>
      </c>
      <c r="F560" s="21">
        <f>IF(F559*$D$2&gt;0,(IF(F559*$D$2&lt;$C$8,$C$8,F559*$D$2)),0)</f>
        <v>0</v>
      </c>
    </row>
    <row r="561" ht="12.75">
      <c r="E561" s="2"/>
    </row>
    <row r="562" spans="1:2" ht="12.75">
      <c r="A562">
        <v>21</v>
      </c>
      <c r="B562" s="4" t="s">
        <v>150</v>
      </c>
    </row>
    <row r="565" spans="2:4" ht="12.75">
      <c r="B565" s="6" t="s">
        <v>88</v>
      </c>
      <c r="D565" s="9">
        <f>+'Datos Resultado '!D244</f>
        <v>0</v>
      </c>
    </row>
    <row r="566" ht="12.75">
      <c r="F566" t="s">
        <v>22</v>
      </c>
    </row>
    <row r="568" spans="2:6" ht="12.75">
      <c r="B568" t="s">
        <v>3</v>
      </c>
      <c r="D568" s="25">
        <f>+$C$4*1000000</f>
        <v>6788000</v>
      </c>
      <c r="E568" s="25">
        <f>+IF(D565&gt;D568,D568,D565)</f>
        <v>0</v>
      </c>
      <c r="F568">
        <v>0.035</v>
      </c>
    </row>
    <row r="569" spans="4:5" ht="12.75">
      <c r="D569" s="25"/>
      <c r="E569" s="25"/>
    </row>
    <row r="570" spans="2:6" ht="12.75">
      <c r="B570" t="s">
        <v>4</v>
      </c>
      <c r="D570" s="25">
        <f>+$C$4*1000000</f>
        <v>6788000</v>
      </c>
      <c r="E570" s="25">
        <f>+IF(D565&lt;D571,IF(D565&gt;D570,D565-D570,0),D571-D570)</f>
        <v>0</v>
      </c>
      <c r="F570">
        <v>0.015</v>
      </c>
    </row>
    <row r="571" spans="2:5" ht="12.75">
      <c r="B571" t="s">
        <v>5</v>
      </c>
      <c r="D571" s="25">
        <f>+$C$4*10000000</f>
        <v>67880000</v>
      </c>
      <c r="E571" s="25"/>
    </row>
    <row r="572" spans="4:5" ht="12.75">
      <c r="D572" s="25"/>
      <c r="E572" s="25"/>
    </row>
    <row r="573" spans="2:6" ht="12.75">
      <c r="B573" t="s">
        <v>6</v>
      </c>
      <c r="D573" s="25">
        <f>+$C$4*10000000</f>
        <v>67880000</v>
      </c>
      <c r="E573" s="25">
        <f>+IF(D565&lt;D574,IF(D565&gt;D573,D565-D573,0),D574-D573)</f>
        <v>0</v>
      </c>
      <c r="F573">
        <v>0.01</v>
      </c>
    </row>
    <row r="574" spans="2:5" ht="12.75">
      <c r="B574" t="s">
        <v>7</v>
      </c>
      <c r="D574" s="25">
        <f>+$C$4*100000000</f>
        <v>678800000</v>
      </c>
      <c r="E574" s="25"/>
    </row>
    <row r="576" spans="2:6" ht="12.75">
      <c r="B576" t="s">
        <v>8</v>
      </c>
      <c r="D576" s="25">
        <f>+$C$4*100000000</f>
        <v>678800000</v>
      </c>
      <c r="E576" s="25">
        <f>+IF(D565&gt;D576,D565-D576,0)</f>
        <v>0</v>
      </c>
      <c r="F576">
        <v>0.007</v>
      </c>
    </row>
    <row r="577" spans="4:5" ht="12.75">
      <c r="D577" s="25"/>
      <c r="E577" s="25">
        <f>SUM(E536:E576)</f>
        <v>7642.7</v>
      </c>
    </row>
    <row r="578" spans="2:6" ht="12.75">
      <c r="B578" t="s">
        <v>89</v>
      </c>
      <c r="D578" s="25"/>
      <c r="F578" s="2">
        <f>(+E568*F568+E570*F570+E573*F573+E576*F576)</f>
        <v>0</v>
      </c>
    </row>
    <row r="580" ht="12.75">
      <c r="B580" t="s">
        <v>98</v>
      </c>
    </row>
    <row r="581" spans="2:5" ht="12.75">
      <c r="B581" t="s">
        <v>99</v>
      </c>
      <c r="E581" s="7">
        <v>0.05</v>
      </c>
    </row>
    <row r="582" ht="12.75">
      <c r="E582" s="2"/>
    </row>
    <row r="583" spans="3:6" ht="12.75">
      <c r="C583" t="s">
        <v>102</v>
      </c>
      <c r="E583" s="2">
        <f>500*$C$5</f>
        <v>7642.5</v>
      </c>
      <c r="F583" s="2">
        <f>+E581*F578</f>
        <v>0</v>
      </c>
    </row>
    <row r="584" ht="12.75">
      <c r="E584" s="2"/>
    </row>
    <row r="585" spans="5:6" ht="12.75">
      <c r="E585" t="s">
        <v>109</v>
      </c>
      <c r="F585" s="14">
        <f>IF(F583&gt;0,IF(F583&gt;E583,F583,E4992),0)</f>
        <v>0</v>
      </c>
    </row>
    <row r="586" spans="5:6" ht="12.75">
      <c r="E586" t="s">
        <v>108</v>
      </c>
      <c r="F586" s="21">
        <f>IF(F585*$D$2&gt;0,(IF(F585*$D$2&lt;$C$8,$C$8,F585*$D$2)),0)</f>
        <v>0</v>
      </c>
    </row>
    <row r="587" ht="12.75">
      <c r="E587" s="2"/>
    </row>
    <row r="588" ht="12.75">
      <c r="E588" s="2"/>
    </row>
    <row r="590" spans="1:2" ht="12.75">
      <c r="A590">
        <v>22</v>
      </c>
      <c r="B590" s="4" t="s">
        <v>176</v>
      </c>
    </row>
    <row r="591" ht="12.75">
      <c r="B591" s="4" t="s">
        <v>177</v>
      </c>
    </row>
    <row r="592" ht="12.75">
      <c r="B592" s="4"/>
    </row>
    <row r="594" spans="2:4" ht="12.75">
      <c r="B594" s="6" t="s">
        <v>88</v>
      </c>
      <c r="D594" s="9">
        <f>+'Datos Resultado '!D254</f>
        <v>0</v>
      </c>
    </row>
    <row r="595" ht="12.75">
      <c r="F595" t="s">
        <v>22</v>
      </c>
    </row>
    <row r="597" spans="2:6" ht="12.75">
      <c r="B597" t="s">
        <v>3</v>
      </c>
      <c r="D597" s="25">
        <f>+$C$4*1000000</f>
        <v>6788000</v>
      </c>
      <c r="E597" s="25">
        <f>+IF(D594&gt;D597,D597,D594)</f>
        <v>0</v>
      </c>
      <c r="F597">
        <v>0.035</v>
      </c>
    </row>
    <row r="598" spans="4:5" ht="12.75">
      <c r="D598" s="25"/>
      <c r="E598" s="25"/>
    </row>
    <row r="599" spans="2:6" ht="12.75">
      <c r="B599" t="s">
        <v>4</v>
      </c>
      <c r="D599" s="25">
        <f>+$C$4*1000000</f>
        <v>6788000</v>
      </c>
      <c r="E599" s="25">
        <f>+IF(D594&lt;D600,IF(D594&gt;D599,D594-D599,0),D600-D599)</f>
        <v>0</v>
      </c>
      <c r="F599">
        <v>0.015</v>
      </c>
    </row>
    <row r="600" spans="2:5" ht="12.75">
      <c r="B600" t="s">
        <v>5</v>
      </c>
      <c r="D600" s="25">
        <f>+$C$4*10000000</f>
        <v>67880000</v>
      </c>
      <c r="E600" s="25"/>
    </row>
    <row r="601" spans="4:5" ht="12.75">
      <c r="D601" s="25"/>
      <c r="E601" s="25"/>
    </row>
    <row r="602" spans="2:6" ht="12.75">
      <c r="B602" t="s">
        <v>6</v>
      </c>
      <c r="D602" s="25">
        <f>+$C$4*10000000</f>
        <v>67880000</v>
      </c>
      <c r="E602" s="25">
        <f>+IF(D594&lt;D603,IF(D594&gt;D602,D594-D602,0),D603-D602)</f>
        <v>0</v>
      </c>
      <c r="F602">
        <v>0.01</v>
      </c>
    </row>
    <row r="603" spans="2:5" ht="12.75">
      <c r="B603" t="s">
        <v>7</v>
      </c>
      <c r="D603" s="25">
        <f>+$C$4*100000000</f>
        <v>678800000</v>
      </c>
      <c r="E603" s="25"/>
    </row>
    <row r="605" spans="2:6" ht="12.75">
      <c r="B605" t="s">
        <v>8</v>
      </c>
      <c r="D605" s="25">
        <f>+$C$4*100000000</f>
        <v>678800000</v>
      </c>
      <c r="E605" s="25">
        <f>+IF(D594&gt;D605,D594-D605,0)</f>
        <v>0</v>
      </c>
      <c r="F605">
        <v>0.007</v>
      </c>
    </row>
    <row r="606" spans="4:5" ht="12.75">
      <c r="D606" s="25"/>
      <c r="E606" s="25">
        <f>SUM(E597:E605)</f>
        <v>0</v>
      </c>
    </row>
    <row r="607" spans="2:6" ht="12.75">
      <c r="B607" t="s">
        <v>89</v>
      </c>
      <c r="D607" s="25"/>
      <c r="F607" s="2">
        <f>(+E597*F597+E599*F599+E602*F602+E605*F605)</f>
        <v>0</v>
      </c>
    </row>
    <row r="609" ht="12.75">
      <c r="B609" t="s">
        <v>100</v>
      </c>
    </row>
    <row r="610" spans="2:5" ht="12.75">
      <c r="B610" t="s">
        <v>101</v>
      </c>
      <c r="E610" s="7">
        <v>0.15</v>
      </c>
    </row>
    <row r="611" ht="12.75">
      <c r="E611" s="2"/>
    </row>
    <row r="612" spans="3:6" ht="12.75">
      <c r="C612" t="s">
        <v>102</v>
      </c>
      <c r="E612" s="2">
        <f>500*C5</f>
        <v>7642.5</v>
      </c>
      <c r="F612" s="2">
        <f>+E610*F607</f>
        <v>0</v>
      </c>
    </row>
    <row r="613" ht="12.75">
      <c r="E613" s="25"/>
    </row>
    <row r="614" spans="5:6" ht="12.75">
      <c r="E614" t="s">
        <v>109</v>
      </c>
      <c r="F614" s="14">
        <f>IF(F612&gt;0,IF(F612&gt;E612,F612,E5021),0)</f>
        <v>0</v>
      </c>
    </row>
    <row r="615" spans="5:6" ht="12.75">
      <c r="E615" t="s">
        <v>108</v>
      </c>
      <c r="F615" s="21">
        <f>IF(F614*$D$2&gt;0,(IF(F614*$D$2&lt;$C$8,$C$8,F614*$D$2)),0)</f>
        <v>0</v>
      </c>
    </row>
    <row r="617" ht="12.75">
      <c r="E617" s="2"/>
    </row>
    <row r="618" spans="1:2" ht="12.75">
      <c r="A618">
        <v>23</v>
      </c>
      <c r="B618" s="4" t="s">
        <v>104</v>
      </c>
    </row>
    <row r="619" ht="12.75">
      <c r="B619" s="4"/>
    </row>
    <row r="620" spans="2:5" ht="12.75">
      <c r="B620" s="6" t="s">
        <v>154</v>
      </c>
      <c r="E620" s="34">
        <f>+'Datos Resultado '!F263</f>
        <v>0</v>
      </c>
    </row>
    <row r="621" ht="12.75">
      <c r="F621" t="s">
        <v>22</v>
      </c>
    </row>
    <row r="623" spans="2:8" ht="12.75">
      <c r="B623" t="s">
        <v>90</v>
      </c>
      <c r="D623" s="25">
        <f>+$C$4*50000</f>
        <v>339400</v>
      </c>
      <c r="E623" s="25">
        <f>+IF(E620&gt;D623,D623,E620)</f>
        <v>0</v>
      </c>
      <c r="F623">
        <v>0.0075</v>
      </c>
      <c r="H623" s="47"/>
    </row>
    <row r="624" spans="4:5" ht="12.75">
      <c r="D624" s="25"/>
      <c r="E624" s="25"/>
    </row>
    <row r="625" spans="2:6" ht="12.75">
      <c r="B625" t="s">
        <v>91</v>
      </c>
      <c r="D625" s="25">
        <f>+$C$4*50000</f>
        <v>339400</v>
      </c>
      <c r="E625" s="25">
        <f>+IF(E620&lt;D626,IF(E620&gt;D625,E620-D625,0),D626-D625)</f>
        <v>0</v>
      </c>
      <c r="F625">
        <v>0.005</v>
      </c>
    </row>
    <row r="626" spans="2:5" ht="12.75">
      <c r="B626" t="s">
        <v>92</v>
      </c>
      <c r="D626" s="25">
        <f>+$C$4*200000</f>
        <v>1357600</v>
      </c>
      <c r="E626" s="25"/>
    </row>
    <row r="627" spans="4:5" ht="12.75">
      <c r="D627" s="25"/>
      <c r="E627" s="25"/>
    </row>
    <row r="628" spans="2:6" ht="12.75">
      <c r="B628" t="s">
        <v>93</v>
      </c>
      <c r="D628" s="25">
        <f>+$C$4*200000</f>
        <v>1357600</v>
      </c>
      <c r="E628" s="25">
        <f>+IF(E620&gt;D628,E620-D628,0)</f>
        <v>0</v>
      </c>
      <c r="F628">
        <v>0.0025</v>
      </c>
    </row>
    <row r="629" spans="4:5" ht="12.75">
      <c r="D629" s="25"/>
      <c r="E629" s="25"/>
    </row>
    <row r="630" spans="2:6" ht="12.75">
      <c r="B630" t="s">
        <v>94</v>
      </c>
      <c r="D630" s="25"/>
      <c r="F630" s="2">
        <f>+E623*F623+E625*F625+E628*F628</f>
        <v>0</v>
      </c>
    </row>
    <row r="632" spans="5:6" ht="12.75">
      <c r="E632" t="s">
        <v>109</v>
      </c>
      <c r="F632" s="14">
        <f>+F630</f>
        <v>0</v>
      </c>
    </row>
    <row r="633" spans="5:6" ht="12.75">
      <c r="E633" t="s">
        <v>108</v>
      </c>
      <c r="F633" s="21">
        <f>IF(F632*$D$2&gt;0,(IF(F632*$D$2&lt;$C$8,$C$8,F632*$D$2)),0)</f>
        <v>0</v>
      </c>
    </row>
    <row r="634" ht="12.75">
      <c r="F634" s="2"/>
    </row>
    <row r="635" spans="1:2" ht="12.75">
      <c r="A635">
        <v>24</v>
      </c>
      <c r="B635" s="4" t="s">
        <v>155</v>
      </c>
    </row>
    <row r="636" ht="12.75">
      <c r="B636" s="4" t="s">
        <v>156</v>
      </c>
    </row>
    <row r="638" spans="2:5" ht="12.75">
      <c r="B638" s="6" t="s">
        <v>154</v>
      </c>
      <c r="E638" s="9">
        <f>+'Datos Resultado '!F272</f>
        <v>0</v>
      </c>
    </row>
    <row r="639" ht="12.75">
      <c r="F639" t="s">
        <v>22</v>
      </c>
    </row>
    <row r="641" spans="2:6" ht="12.75">
      <c r="B641" t="s">
        <v>90</v>
      </c>
      <c r="D641" s="25">
        <f>+$C$4*50000</f>
        <v>339400</v>
      </c>
      <c r="E641" s="25">
        <f>+IF(E638&gt;D641,D641,E638)</f>
        <v>0</v>
      </c>
      <c r="F641">
        <v>0.0075</v>
      </c>
    </row>
    <row r="642" spans="4:5" ht="12.75">
      <c r="D642" s="25"/>
      <c r="E642" s="25"/>
    </row>
    <row r="643" spans="2:6" ht="12.75">
      <c r="B643" t="s">
        <v>91</v>
      </c>
      <c r="D643" s="25">
        <f>+$C$4*50000</f>
        <v>339400</v>
      </c>
      <c r="E643" s="25">
        <f>+IF(E638&lt;D644,IF(E638&gt;D643,E638-D643,0),D644-D643)</f>
        <v>0</v>
      </c>
      <c r="F643">
        <v>0.005</v>
      </c>
    </row>
    <row r="644" spans="2:5" ht="12.75">
      <c r="B644" t="s">
        <v>92</v>
      </c>
      <c r="D644" s="25">
        <f>+$C$4*200000</f>
        <v>1357600</v>
      </c>
      <c r="E644" s="25"/>
    </row>
    <row r="645" spans="4:5" ht="12.75">
      <c r="D645" s="25"/>
      <c r="E645" s="25"/>
    </row>
    <row r="646" spans="2:6" ht="12.75">
      <c r="B646" t="s">
        <v>93</v>
      </c>
      <c r="D646" s="25">
        <f>+$C$4*200000</f>
        <v>1357600</v>
      </c>
      <c r="E646" s="25">
        <f>+IF(E638&gt;D646,E638-D646,0)</f>
        <v>0</v>
      </c>
      <c r="F646">
        <v>0.0025</v>
      </c>
    </row>
    <row r="647" spans="4:5" ht="12.75">
      <c r="D647" s="25"/>
      <c r="E647" s="25"/>
    </row>
    <row r="648" spans="2:6" ht="12.75">
      <c r="B648" t="s">
        <v>94</v>
      </c>
      <c r="D648" s="25"/>
      <c r="F648" s="2">
        <f>+E641*F641+E643*F643+E646*F646</f>
        <v>0</v>
      </c>
    </row>
    <row r="650" spans="2:6" ht="12.75">
      <c r="B650" t="s">
        <v>95</v>
      </c>
      <c r="F650" s="2"/>
    </row>
    <row r="652" spans="2:5" ht="12.75">
      <c r="B652" t="s">
        <v>96</v>
      </c>
      <c r="E652" s="7">
        <v>0.2</v>
      </c>
    </row>
    <row r="653" spans="2:6" ht="12.75">
      <c r="B653" t="s">
        <v>97</v>
      </c>
      <c r="F653" s="2"/>
    </row>
    <row r="654" spans="3:6" ht="12.75">
      <c r="C654" t="s">
        <v>102</v>
      </c>
      <c r="E654" s="2">
        <f>500*$C$5</f>
        <v>7642.5</v>
      </c>
      <c r="F654" s="2">
        <f>+E652*F648</f>
        <v>0</v>
      </c>
    </row>
    <row r="655" spans="5:6" ht="12.75">
      <c r="E655" s="40"/>
      <c r="F655" s="40"/>
    </row>
    <row r="656" ht="12.75">
      <c r="H656" s="2"/>
    </row>
    <row r="657" spans="5:6" ht="12.75">
      <c r="E657" t="s">
        <v>109</v>
      </c>
      <c r="F657" s="14">
        <f>IF(F654&gt;0,IF(F654&gt;E654,F654,E654),0)</f>
        <v>0</v>
      </c>
    </row>
    <row r="658" spans="5:6" ht="12.75">
      <c r="E658" t="s">
        <v>108</v>
      </c>
      <c r="F658" s="17">
        <f>IF(F657*$D$2&gt;0,(IF(F657*$D$2&lt;$C$8,$C$8,F657*$D$2)),0)</f>
        <v>0</v>
      </c>
    </row>
    <row r="661" spans="1:2" ht="12.75">
      <c r="A661">
        <v>25</v>
      </c>
      <c r="B661" s="4" t="s">
        <v>155</v>
      </c>
    </row>
    <row r="662" ht="12.75">
      <c r="B662" s="4" t="s">
        <v>157</v>
      </c>
    </row>
    <row r="663" ht="12.75">
      <c r="B663" s="4" t="s">
        <v>158</v>
      </c>
    </row>
    <row r="665" spans="2:5" ht="12.75">
      <c r="B665" s="6" t="s">
        <v>154</v>
      </c>
      <c r="E665" s="9">
        <f>+'Datos Resultado '!F281</f>
        <v>0</v>
      </c>
    </row>
    <row r="666" ht="12.75">
      <c r="F666" t="s">
        <v>22</v>
      </c>
    </row>
    <row r="668" spans="2:6" ht="12.75">
      <c r="B668" t="s">
        <v>90</v>
      </c>
      <c r="D668" s="25">
        <f>+$C$4*50000</f>
        <v>339400</v>
      </c>
      <c r="E668" s="25">
        <f>+IF(E665&gt;D668,D668,E665)</f>
        <v>0</v>
      </c>
      <c r="F668">
        <v>0.035</v>
      </c>
    </row>
    <row r="669" spans="4:5" ht="12.75">
      <c r="D669" s="25"/>
      <c r="E669" s="25"/>
    </row>
    <row r="670" spans="2:6" ht="12.75">
      <c r="B670" t="s">
        <v>91</v>
      </c>
      <c r="D670" s="25">
        <f>+$C$4*50000</f>
        <v>339400</v>
      </c>
      <c r="E670" s="25">
        <f>+IF(E665&lt;D671,IF(E665&gt;D670,E665-D670,0),D671-D670)</f>
        <v>0</v>
      </c>
      <c r="F670">
        <v>0.015</v>
      </c>
    </row>
    <row r="671" spans="2:5" ht="12.75">
      <c r="B671" t="s">
        <v>92</v>
      </c>
      <c r="D671" s="25">
        <f>+$C$4*200000</f>
        <v>1357600</v>
      </c>
      <c r="E671" s="25"/>
    </row>
    <row r="672" spans="4:5" ht="12.75">
      <c r="D672" s="25"/>
      <c r="E672" s="25"/>
    </row>
    <row r="673" spans="2:6" ht="12.75">
      <c r="B673" t="s">
        <v>93</v>
      </c>
      <c r="D673" s="25">
        <f>+$C$4*200000</f>
        <v>1357600</v>
      </c>
      <c r="E673" s="25">
        <f>+IF(E665&gt;D673,E665-D673,0)</f>
        <v>0</v>
      </c>
      <c r="F673">
        <v>0.007</v>
      </c>
    </row>
    <row r="674" spans="4:5" ht="12.75">
      <c r="D674" s="25"/>
      <c r="E674" s="25"/>
    </row>
    <row r="675" spans="2:6" ht="12.75">
      <c r="B675" t="s">
        <v>94</v>
      </c>
      <c r="D675" s="25"/>
      <c r="F675" s="2">
        <f>+E668*F668+E670*F670+E673*F673</f>
        <v>0</v>
      </c>
    </row>
    <row r="677" spans="2:6" ht="12.75">
      <c r="B677" t="s">
        <v>95</v>
      </c>
      <c r="F677" s="2"/>
    </row>
    <row r="679" spans="2:5" ht="12.75">
      <c r="B679" t="s">
        <v>98</v>
      </c>
      <c r="E679" s="7">
        <v>0.05</v>
      </c>
    </row>
    <row r="680" spans="2:5" ht="12.75">
      <c r="B680" t="s">
        <v>99</v>
      </c>
      <c r="E680" s="2"/>
    </row>
    <row r="681" spans="3:6" ht="12.75">
      <c r="C681" t="s">
        <v>102</v>
      </c>
      <c r="E681" s="2">
        <f>500*$C$5</f>
        <v>7642.5</v>
      </c>
      <c r="F681" s="2">
        <f>+E679*F675</f>
        <v>0</v>
      </c>
    </row>
    <row r="682" spans="5:6" ht="12.75">
      <c r="E682" s="40"/>
      <c r="F682" s="40"/>
    </row>
    <row r="684" spans="5:6" ht="12.75">
      <c r="E684" t="s">
        <v>109</v>
      </c>
      <c r="F684" s="14">
        <f>IF(F681&gt;0,IF(F681&gt;E681,F681,E681),0)</f>
        <v>0</v>
      </c>
    </row>
    <row r="685" spans="5:6" ht="12.75">
      <c r="E685" t="s">
        <v>108</v>
      </c>
      <c r="F685" s="17">
        <f>IF(F684*$D$2&gt;0,(IF(F684*$D$2&lt;$C$8,$C$8,F684*$D$2)),0)</f>
        <v>0</v>
      </c>
    </row>
    <row r="688" spans="1:2" ht="12.75">
      <c r="A688">
        <v>26</v>
      </c>
      <c r="B688" s="4" t="s">
        <v>155</v>
      </c>
    </row>
    <row r="689" ht="12.75">
      <c r="B689" s="4" t="s">
        <v>157</v>
      </c>
    </row>
    <row r="690" ht="12.75">
      <c r="B690" s="4" t="s">
        <v>158</v>
      </c>
    </row>
    <row r="692" spans="2:5" ht="12.75">
      <c r="B692" s="6" t="s">
        <v>154</v>
      </c>
      <c r="E692" s="9">
        <f>+'Datos Resultado '!F290</f>
        <v>0</v>
      </c>
    </row>
    <row r="693" ht="12.75">
      <c r="F693" t="s">
        <v>22</v>
      </c>
    </row>
    <row r="695" spans="2:6" ht="12.75">
      <c r="B695" t="s">
        <v>90</v>
      </c>
      <c r="D695" s="25">
        <f>+$C$4*50000</f>
        <v>339400</v>
      </c>
      <c r="E695" s="25">
        <f>+IF(E692&gt;D695,D695,E692)</f>
        <v>0</v>
      </c>
      <c r="F695">
        <v>0.035</v>
      </c>
    </row>
    <row r="696" spans="4:5" ht="12.75">
      <c r="D696" s="25"/>
      <c r="E696" s="25"/>
    </row>
    <row r="697" spans="2:6" ht="12.75">
      <c r="B697" t="s">
        <v>91</v>
      </c>
      <c r="D697" s="25">
        <f>+$C$4*50000</f>
        <v>339400</v>
      </c>
      <c r="E697" s="25">
        <f>+IF(E692&lt;D698,IF(E692&gt;D697,E692-D697,0),D698-D697)</f>
        <v>0</v>
      </c>
      <c r="F697">
        <v>0.015</v>
      </c>
    </row>
    <row r="698" spans="2:5" ht="12.75">
      <c r="B698" t="s">
        <v>92</v>
      </c>
      <c r="D698" s="25">
        <f>+$C$4*200000</f>
        <v>1357600</v>
      </c>
      <c r="E698" s="25"/>
    </row>
    <row r="699" spans="4:5" ht="12.75">
      <c r="D699" s="25"/>
      <c r="E699" s="25"/>
    </row>
    <row r="700" spans="2:6" ht="12.75">
      <c r="B700" t="s">
        <v>93</v>
      </c>
      <c r="D700" s="25">
        <f>+$C$4*200000</f>
        <v>1357600</v>
      </c>
      <c r="E700" s="25">
        <f>+IF(E692&gt;D700,E692-D700,0)</f>
        <v>0</v>
      </c>
      <c r="F700">
        <v>0.007</v>
      </c>
    </row>
    <row r="701" spans="4:5" ht="12.75">
      <c r="D701" s="25"/>
      <c r="E701" s="25"/>
    </row>
    <row r="702" spans="2:6" ht="12.75">
      <c r="B702" t="s">
        <v>94</v>
      </c>
      <c r="D702" s="25"/>
      <c r="F702" s="2">
        <f>+E695*F695+E697*F697+E700*F700</f>
        <v>0</v>
      </c>
    </row>
    <row r="704" spans="2:6" ht="12.75">
      <c r="B704" t="s">
        <v>95</v>
      </c>
      <c r="F704" s="2"/>
    </row>
    <row r="706" ht="12.75">
      <c r="B706" t="s">
        <v>100</v>
      </c>
    </row>
    <row r="707" spans="2:5" ht="12.75">
      <c r="B707" t="s">
        <v>101</v>
      </c>
      <c r="E707" s="7">
        <v>0.15</v>
      </c>
    </row>
    <row r="708" spans="3:6" ht="12.75">
      <c r="C708" t="s">
        <v>102</v>
      </c>
      <c r="E708" s="2">
        <f>500*$C$5</f>
        <v>7642.5</v>
      </c>
      <c r="F708" s="2">
        <f>+E707*F702</f>
        <v>0</v>
      </c>
    </row>
    <row r="709" spans="5:6" ht="12.75">
      <c r="E709" s="40"/>
      <c r="F709" s="40"/>
    </row>
    <row r="711" spans="5:6" ht="12.75">
      <c r="E711" t="s">
        <v>109</v>
      </c>
      <c r="F711" s="14">
        <f>IF(F708&gt;0,IF(F708&gt;E708,F708,E708),0)</f>
        <v>0</v>
      </c>
    </row>
    <row r="712" spans="5:6" ht="12.75">
      <c r="E712" t="s">
        <v>108</v>
      </c>
      <c r="F712" s="17">
        <f>IF(F711*$D$2&gt;0,(IF(F711*$D$2&lt;$C$8,$C$8,F711*$D$2)),0)</f>
        <v>0</v>
      </c>
    </row>
    <row r="713" ht="14.25">
      <c r="F713" s="46"/>
    </row>
    <row r="717" ht="12.75">
      <c r="F717" s="11"/>
    </row>
    <row r="718" ht="12.75">
      <c r="F718" s="11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administracion</cp:lastModifiedBy>
  <dcterms:created xsi:type="dcterms:W3CDTF">2007-05-23T21:49:36Z</dcterms:created>
  <dcterms:modified xsi:type="dcterms:W3CDTF">2022-01-03T16:54:29Z</dcterms:modified>
  <cp:category/>
  <cp:version/>
  <cp:contentType/>
  <cp:contentStatus/>
</cp:coreProperties>
</file>